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308"/>
  <workbookPr/>
  <mc:AlternateContent xmlns:mc="http://schemas.openxmlformats.org/markup-compatibility/2006">
    <mc:Choice Requires="x15">
      <x15ac:absPath xmlns:x15ac="http://schemas.microsoft.com/office/spreadsheetml/2010/11/ac" url="/Users/minimax/Downloads/"/>
    </mc:Choice>
  </mc:AlternateContent>
  <xr:revisionPtr revIDLastSave="0" documentId="13_ncr:1_{77C3DD07-6414-6E4C-9141-8CA6D8329422}" xr6:coauthVersionLast="47" xr6:coauthVersionMax="47" xr10:uidLastSave="{00000000-0000-0000-0000-000000000000}"/>
  <bookViews>
    <workbookView xWindow="0" yWindow="680" windowWidth="29400" windowHeight="17180" tabRatio="500" activeTab="4" xr2:uid="{00000000-000D-0000-FFFF-FFFF00000000}"/>
  </bookViews>
  <sheets>
    <sheet name="Cover" sheetId="1" r:id="rId1"/>
    <sheet name="Historical Data" sheetId="2" r:id="rId2"/>
    <sheet name="Assumptions" sheetId="3" r:id="rId3"/>
    <sheet name="Revenue Build" sheetId="4" r:id="rId4"/>
    <sheet name="Summary" sheetId="5" r:id="rId5"/>
  </sheets>
  <definedNames>
    <definedName name="Scenario_Selector">Assumptions!$C$5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4" i="5" l="1"/>
  <c r="G28" i="4"/>
  <c r="C30" i="5"/>
  <c r="F21" i="5"/>
  <c r="E21" i="5"/>
  <c r="D21" i="5"/>
  <c r="C21" i="5"/>
  <c r="F19" i="5"/>
  <c r="E19" i="5"/>
  <c r="D19" i="5"/>
  <c r="C19" i="5"/>
  <c r="F18" i="5"/>
  <c r="E18" i="5"/>
  <c r="D18" i="5"/>
  <c r="C18" i="5"/>
  <c r="F17" i="5"/>
  <c r="E17" i="5"/>
  <c r="D17" i="5"/>
  <c r="C17" i="5"/>
  <c r="F16" i="5"/>
  <c r="E16" i="5"/>
  <c r="D16" i="5"/>
  <c r="C16" i="5"/>
  <c r="F15" i="5"/>
  <c r="E15" i="5"/>
  <c r="D15" i="5"/>
  <c r="C15" i="5"/>
  <c r="F14" i="5"/>
  <c r="E14" i="5"/>
  <c r="D14" i="5"/>
  <c r="F11" i="5"/>
  <c r="E11" i="5"/>
  <c r="D11" i="5"/>
  <c r="C11" i="5"/>
  <c r="F10" i="5"/>
  <c r="E10" i="5"/>
  <c r="D10" i="5"/>
  <c r="C10" i="5"/>
  <c r="F9" i="5"/>
  <c r="E9" i="5"/>
  <c r="D9" i="5"/>
  <c r="C9" i="5"/>
  <c r="F8" i="5"/>
  <c r="E8" i="5"/>
  <c r="D8" i="5"/>
  <c r="C8" i="5"/>
  <c r="C4" i="5"/>
  <c r="G36" i="4"/>
  <c r="F36" i="4"/>
  <c r="E36" i="4"/>
  <c r="G35" i="4"/>
  <c r="G18" i="4"/>
  <c r="G37" i="4" s="1"/>
  <c r="F18" i="4"/>
  <c r="F37" i="4" s="1"/>
  <c r="E18" i="4"/>
  <c r="E17" i="4" s="1"/>
  <c r="F17" i="4" s="1"/>
  <c r="G17" i="4" s="1"/>
  <c r="H17" i="4" s="1"/>
  <c r="D18" i="4"/>
  <c r="D37" i="4" s="1"/>
  <c r="G14" i="4"/>
  <c r="F14" i="4"/>
  <c r="E14" i="4"/>
  <c r="D13" i="4"/>
  <c r="D14" i="4" s="1"/>
  <c r="D36" i="4" s="1"/>
  <c r="C13" i="4"/>
  <c r="G10" i="4"/>
  <c r="F10" i="4"/>
  <c r="E10" i="4"/>
  <c r="G8" i="4"/>
  <c r="F8" i="4"/>
  <c r="F35" i="4" s="1"/>
  <c r="E8" i="4"/>
  <c r="E35" i="4" s="1"/>
  <c r="D7" i="4"/>
  <c r="D8" i="4" s="1"/>
  <c r="D35" i="4" s="1"/>
  <c r="C7" i="4"/>
  <c r="C21" i="4" s="1"/>
  <c r="E49" i="3"/>
  <c r="D49" i="3"/>
  <c r="C49" i="3"/>
  <c r="E43" i="3"/>
  <c r="D43" i="3"/>
  <c r="C43" i="3"/>
  <c r="E37" i="3"/>
  <c r="D37" i="3"/>
  <c r="C37" i="3"/>
  <c r="E31" i="3"/>
  <c r="D31" i="3"/>
  <c r="C31" i="3"/>
  <c r="E24" i="3"/>
  <c r="D24" i="3"/>
  <c r="C24" i="3"/>
  <c r="E17" i="3"/>
  <c r="D17" i="3"/>
  <c r="C17" i="3"/>
  <c r="E13" i="3"/>
  <c r="D13" i="3"/>
  <c r="C13" i="3"/>
  <c r="D34" i="2"/>
  <c r="C34" i="2"/>
  <c r="D28" i="2"/>
  <c r="D29" i="2" s="1"/>
  <c r="C28" i="2"/>
  <c r="C31" i="2" s="1"/>
  <c r="C32" i="2" s="1"/>
  <c r="D21" i="2"/>
  <c r="D20" i="2"/>
  <c r="D19" i="2"/>
  <c r="D18" i="2"/>
  <c r="D17" i="2"/>
  <c r="D16" i="2"/>
  <c r="D15" i="2"/>
  <c r="D13" i="2"/>
  <c r="C13" i="2"/>
  <c r="C23" i="4" l="1"/>
  <c r="C27" i="4"/>
  <c r="C29" i="4"/>
  <c r="C31" i="4"/>
  <c r="E37" i="4"/>
  <c r="E13" i="4"/>
  <c r="F13" i="4" s="1"/>
  <c r="G13" i="4" s="1"/>
  <c r="H13" i="4"/>
  <c r="D21" i="4"/>
  <c r="E7" i="4"/>
  <c r="C29" i="2"/>
  <c r="D31" i="2"/>
  <c r="D32" i="2" s="1"/>
  <c r="E21" i="4" l="1"/>
  <c r="E9" i="4"/>
  <c r="F7" i="4"/>
  <c r="D31" i="4"/>
  <c r="D29" i="4"/>
  <c r="D23" i="4"/>
  <c r="D27" i="4"/>
  <c r="D38" i="4"/>
  <c r="F9" i="4" l="1"/>
  <c r="G7" i="4"/>
  <c r="F21" i="4"/>
  <c r="E38" i="4"/>
  <c r="E26" i="4"/>
  <c r="E27" i="4" s="1"/>
  <c r="E22" i="4"/>
  <c r="E28" i="4" l="1"/>
  <c r="E23" i="4"/>
  <c r="F38" i="4"/>
  <c r="F22" i="4"/>
  <c r="F26" i="4"/>
  <c r="F27" i="4" s="1"/>
  <c r="G21" i="4"/>
  <c r="G9" i="4"/>
  <c r="H7" i="4"/>
  <c r="G22" i="4" l="1"/>
  <c r="G26" i="4"/>
  <c r="G27" i="4"/>
  <c r="G38" i="4"/>
  <c r="G23" i="4"/>
  <c r="H21" i="4"/>
  <c r="F28" i="4"/>
  <c r="F23" i="4"/>
  <c r="E30" i="4"/>
  <c r="E29" i="4"/>
  <c r="F30" i="4" l="1"/>
  <c r="F29" i="4"/>
  <c r="E32" i="4"/>
  <c r="E31" i="4"/>
  <c r="G30" i="4" l="1"/>
  <c r="G29" i="4"/>
  <c r="F32" i="4"/>
  <c r="F31" i="4"/>
  <c r="G32" i="4" l="1"/>
  <c r="G31" i="4"/>
</calcChain>
</file>

<file path=xl/sharedStrings.xml><?xml version="1.0" encoding="utf-8"?>
<sst xmlns="http://schemas.openxmlformats.org/spreadsheetml/2006/main" count="248" uniqueCount="148">
  <si>
    <t>TAIWAN SEMICONDUCTOR MFG. (TWSE: 2330)</t>
  </si>
  <si>
    <t>Institutional Financial Model</t>
  </si>
  <si>
    <t>KEY METRICS</t>
  </si>
  <si>
    <t>FY2025A Net Revenue (NT$M):</t>
  </si>
  <si>
    <t>HPC % of Revenue:</t>
  </si>
  <si>
    <t>57.6%</t>
  </si>
  <si>
    <t>FY2025A Revenue Growth:</t>
  </si>
  <si>
    <t>Smartphone % of Revenue:</t>
  </si>
  <si>
    <t>29.2%</t>
  </si>
  <si>
    <t>FY2025A Gross Margin:</t>
  </si>
  <si>
    <t>Advanced (≤7nm) % of Wafer:</t>
  </si>
  <si>
    <t>74.4%</t>
  </si>
  <si>
    <t>FY2025A Basic EPS (NT$):</t>
  </si>
  <si>
    <t>WORKSHEET DIRECTORY</t>
  </si>
  <si>
    <t>Sheet Name</t>
  </si>
  <si>
    <t>Description</t>
  </si>
  <si>
    <t>Historical Data</t>
  </si>
  <si>
    <t>FY2024A-FY2025A actuals: P&amp;L, platform, geography, technology</t>
  </si>
  <si>
    <t>Assumptions</t>
  </si>
  <si>
    <t>Scenario assumptions with methodology and sources</t>
  </si>
  <si>
    <t>Revenue Build</t>
  </si>
  <si>
    <t>Three-year projections with Bear/Base/Bull scenarios</t>
  </si>
  <si>
    <t>Summary</t>
  </si>
  <si>
    <t>Output tables with CAGR and scenario comparison</t>
  </si>
  <si>
    <t>FORMULA AUDIT</t>
  </si>
  <si>
    <t>☐ All projections are formula-driven (no hardcoded values in projection cells)</t>
  </si>
  <si>
    <t>☐ All assumptions use named ranges for scenario toggle (CHOOSE function)</t>
  </si>
  <si>
    <t>☐ Scenario selector: Cell 'Assumptions!C5' - Enter 1 (Bear), 2 (Base), or 3 (Bull)</t>
  </si>
  <si>
    <t>☐ CAGR calculations: FY2025A to FY2028E compound annual growth rate</t>
  </si>
  <si>
    <t>HISTORICAL DATA — FY2024A &amp; FY2025A</t>
  </si>
  <si>
    <t>Source: TSMC 2025Q4 Consolidated Financial Statements</t>
  </si>
  <si>
    <t>SECTION 1: REVENUE BY PLATFORM (NT$ millions)</t>
  </si>
  <si>
    <t>FY2024A</t>
  </si>
  <si>
    <t>FY2025A</t>
  </si>
  <si>
    <t>High Performance Computing</t>
  </si>
  <si>
    <t>Smartphone</t>
  </si>
  <si>
    <t>IoT</t>
  </si>
  <si>
    <t>Automotive</t>
  </si>
  <si>
    <t>Digital Consumer Electronics</t>
  </si>
  <si>
    <t>Others</t>
  </si>
  <si>
    <t>Total Revenue</t>
  </si>
  <si>
    <t>YoY Growth Rates (%)</t>
  </si>
  <si>
    <t xml:space="preserve">   YoY — High Performance Computing</t>
  </si>
  <si>
    <t xml:space="preserve">   YoY — Smartphone</t>
  </si>
  <si>
    <t xml:space="preserve">   YoY — IoT</t>
  </si>
  <si>
    <t xml:space="preserve">   YoY — Automotive</t>
  </si>
  <si>
    <t xml:space="preserve">   YoY — Digital Consumer Electronics</t>
  </si>
  <si>
    <t xml:space="preserve">   YoY — Others</t>
  </si>
  <si>
    <t xml:space="preserve">   YoY — Total Revenue</t>
  </si>
  <si>
    <t>SECTION 2: INCOME STATEMENT SUMMARY (NT$ millions)</t>
  </si>
  <si>
    <t>Net Revenue</t>
  </si>
  <si>
    <t>Cost of Revenue</t>
  </si>
  <si>
    <t>Gross Profit</t>
  </si>
  <si>
    <t>Gross Margin %</t>
  </si>
  <si>
    <t>Total Operating Expenses</t>
  </si>
  <si>
    <t>Income from Operations</t>
  </si>
  <si>
    <t>Operating Margin %</t>
  </si>
  <si>
    <t>Net Income</t>
  </si>
  <si>
    <t>Net Margin %</t>
  </si>
  <si>
    <t>Basic EPS (NT$)</t>
  </si>
  <si>
    <t>SECTION 3: KEY BUSINESS METRICS</t>
  </si>
  <si>
    <t>Capital Expenditure</t>
  </si>
  <si>
    <t>Depreciation &amp; Amortization</t>
  </si>
  <si>
    <t>Operating Cash Flow</t>
  </si>
  <si>
    <t>Shares Outstanding (millions)</t>
  </si>
  <si>
    <t>Cash Dividends per Share (NT$)</t>
  </si>
  <si>
    <t>ASSUMPTIONS — TSMC Revenue Model</t>
  </si>
  <si>
    <t>SECTION 0: SCENARIO SELECTOR</t>
  </si>
  <si>
    <t>Scenario Selector</t>
  </si>
  <si>
    <t>Named Range: Scenario_Selector</t>
  </si>
  <si>
    <t>Bear Case</t>
  </si>
  <si>
    <t>Slower AI demand, macro headwinds</t>
  </si>
  <si>
    <t>Base Case</t>
  </si>
  <si>
    <t>Consensus analyst estimates</t>
  </si>
  <si>
    <t>Bull Case</t>
  </si>
  <si>
    <t>Accelerated AI adoption &amp; capacity expansion</t>
  </si>
  <si>
    <t>SECTION 1: HPC REVENUE — Growth Rate Assumptions</t>
  </si>
  <si>
    <t>Methodology</t>
  </si>
  <si>
    <t>YoY Growth Rate × Prior Year Revenue</t>
  </si>
  <si>
    <t>Driver</t>
  </si>
  <si>
    <t>FY2026E</t>
  </si>
  <si>
    <t>FY2027E</t>
  </si>
  <si>
    <t>FY2028E</t>
  </si>
  <si>
    <t>Unit</t>
  </si>
  <si>
    <t>YoY Growth Rate — HPC</t>
  </si>
  <si>
    <t>%</t>
  </si>
  <si>
    <t xml:space="preserve">   Bear Case</t>
  </si>
  <si>
    <t xml:space="preserve">   Base Case</t>
  </si>
  <si>
    <t xml:space="preserve">   Bull Case</t>
  </si>
  <si>
    <t xml:space="preserve">   Selected</t>
  </si>
  <si>
    <t>SECTION 2: SMARTPHONE REVENUE — Growth Rate</t>
  </si>
  <si>
    <t>YoY Growth Rate — Smartphone</t>
  </si>
  <si>
    <t>SECTION 3: OTHER PLATFORMS (IoT+Auto+DCE+Others)</t>
  </si>
  <si>
    <t>YoY Growth Rate — Other Platforms</t>
  </si>
  <si>
    <t>SECTION 4: GROSS MARGIN ASSUMPTIONS</t>
  </si>
  <si>
    <t>SECTION 5: OPEX % OF REVENUE</t>
  </si>
  <si>
    <t>OpEx as % of Revenue</t>
  </si>
  <si>
    <t>SECTION 6: EFFECTIVE TAX RATE</t>
  </si>
  <si>
    <t>Effective Tax Rate</t>
  </si>
  <si>
    <t>SECTION 7: KEY METRICS CHECKLIST</t>
  </si>
  <si>
    <t>Check</t>
  </si>
  <si>
    <t>Status</t>
  </si>
  <si>
    <t>Notes</t>
  </si>
  <si>
    <t>All projections formula-driven</t>
  </si>
  <si>
    <t>✓ Pass</t>
  </si>
  <si>
    <t>No hardcoded values in projection cells</t>
  </si>
  <si>
    <t>All assumptions named and sourced</t>
  </si>
  <si>
    <t>CHOOSE() references this sheet</t>
  </si>
  <si>
    <t>CHOOSE() used for scenario toggle</t>
  </si>
  <si>
    <t>Scenario selector in C5</t>
  </si>
  <si>
    <t>No orphaned assumptions</t>
  </si>
  <si>
    <t>All assumptions referenced in Revenue Build</t>
  </si>
  <si>
    <t>DISCLAIMER</t>
  </si>
  <si>
    <t>Model assumptions represent illustrative scenarios based on TSMC FY2025 Consolidated Financial Statements. Validate against actual company guidance.</t>
  </si>
  <si>
    <t>REVENUE BUILD — FY2024A-FY2025A Actual | FY2026E-FY2028E Projections</t>
  </si>
  <si>
    <t>Segment / Metric</t>
  </si>
  <si>
    <t>CAGR 25-28</t>
  </si>
  <si>
    <t>HIGH PERFORMANCE COMPUTING</t>
  </si>
  <si>
    <t xml:space="preserve">   Revenue</t>
  </si>
  <si>
    <t xml:space="preserve">   YoY Growth %</t>
  </si>
  <si>
    <t xml:space="preserve">   Gross Profit</t>
  </si>
  <si>
    <t xml:space="preserve">   Gross Margin %</t>
  </si>
  <si>
    <t>SMARTPHONE</t>
  </si>
  <si>
    <t>OTHER PLATFORMS (IoT + AUTO + DCE + OTHERS)</t>
  </si>
  <si>
    <t>TOTAL REVENUE</t>
  </si>
  <si>
    <t>Total Gross Profit</t>
  </si>
  <si>
    <t>Total Gross Margin %</t>
  </si>
  <si>
    <t>PROFITABILITY</t>
  </si>
  <si>
    <t xml:space="preserve">   Operating Expenses</t>
  </si>
  <si>
    <t xml:space="preserve">   OpEx % of Revenue</t>
  </si>
  <si>
    <t xml:space="preserve">   Income from Operations</t>
  </si>
  <si>
    <t xml:space="preserve">   Operating Margin %</t>
  </si>
  <si>
    <t xml:space="preserve">   Net Income</t>
  </si>
  <si>
    <t xml:space="preserve">   Net Margin %</t>
  </si>
  <si>
    <t xml:space="preserve">   Basic EPS (NT$)</t>
  </si>
  <si>
    <t xml:space="preserve">   YoY — HPC</t>
  </si>
  <si>
    <t xml:space="preserve">   YoY — Other Platforms</t>
  </si>
  <si>
    <t>SUMMARY OUTPUTS — TSMC Revenue Model</t>
  </si>
  <si>
    <t>Scenario:</t>
  </si>
  <si>
    <t>(1=Bear, 2=Base, 3=Bull)</t>
  </si>
  <si>
    <t>REVENUE</t>
  </si>
  <si>
    <t xml:space="preserve">   HPC</t>
  </si>
  <si>
    <t xml:space="preserve">   Smartphone</t>
  </si>
  <si>
    <t xml:space="preserve">   Other Platforms</t>
  </si>
  <si>
    <t>GROWTH METRICS</t>
  </si>
  <si>
    <t>Revenue CAGR (FY25-FY28)</t>
  </si>
  <si>
    <t>SCENARIO COMPARISON (FY2028E Total Revenue)</t>
  </si>
  <si>
    <t>Selected Scenario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</si>
</sst>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0" formatCode="0.0%"/>
  </numFmts>
  <fonts count="15" x14ac:knownFonts="1">
    <font>
      <sz val="11"/>
      <color theme="1"/>
      <name val="Calibri"/>
      <charset val="1"/>
    </font>
    <font>
      <b/>
      <sz val="11"/>
      <color rgb="FFFFFFFF"/>
      <name val="Calibri"/>
      <family val="2"/>
    </font>
    <font>
      <sz val="10"/>
      <color rgb="FF000000"/>
      <name val="Calibri"/>
      <family val="2"/>
    </font>
    <font>
      <sz val="10"/>
      <color rgb="FF1F5EBF"/>
      <name val="Calibri"/>
      <family val="2"/>
    </font>
    <font>
      <sz val="8"/>
      <color rgb="FF808080"/>
      <name val="Calibri"/>
      <family val="2"/>
    </font>
    <font>
      <b/>
      <sz val="10"/>
      <color rgb="FF000000"/>
      <name val="Calibri"/>
      <family val="2"/>
    </font>
    <font>
      <sz val="10"/>
      <color rgb="FF808080"/>
      <name val="Calibri"/>
      <family val="2"/>
    </font>
    <font>
      <sz val="10"/>
      <color theme="1"/>
      <name val="Calibri"/>
      <family val="2"/>
    </font>
    <font>
      <sz val="10"/>
      <color rgb="FF70AD47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b/>
      <sz val="10"/>
      <color rgb="FF003366"/>
      <name val="Calibri"/>
      <family val="2"/>
    </font>
    <font>
      <b/>
      <sz val="10"/>
      <color rgb="FF1F3864"/>
      <name val="Calibri"/>
      <family val="2"/>
    </font>
    <font>
      <b/>
      <sz val="10"/>
      <color rgb="FF1F5EBF"/>
      <name val="Calibri"/>
      <family val="2"/>
    </font>
    <font>
      <sz val="9"/>
      <name val="FangSong"/>
      <family val="3"/>
      <charset val="134"/>
    </font>
  </fonts>
  <fills count="11">
    <fill>
      <patternFill patternType="none"/>
    </fill>
    <fill>
      <patternFill patternType="gray125"/>
    </fill>
    <fill>
      <patternFill patternType="solid">
        <fgColor rgb="FF003366"/>
        <bgColor rgb="FF1F3864"/>
      </patternFill>
    </fill>
    <fill>
      <patternFill patternType="solid">
        <fgColor rgb="FFBDD7EE"/>
        <bgColor rgb="FFD6DCE4"/>
      </patternFill>
    </fill>
    <fill>
      <patternFill patternType="solid">
        <fgColor rgb="FFF2F2F2"/>
        <bgColor rgb="FFE2EFDA"/>
      </patternFill>
    </fill>
    <fill>
      <patternFill patternType="solid">
        <fgColor rgb="FFFFFFFF"/>
        <bgColor rgb="FFF2F2F2"/>
      </patternFill>
    </fill>
    <fill>
      <patternFill patternType="solid">
        <fgColor rgb="FFD6DCE4"/>
        <bgColor rgb="FFBDD7EE"/>
      </patternFill>
    </fill>
    <fill>
      <patternFill patternType="solid">
        <fgColor rgb="FF1F3864"/>
        <bgColor rgb="FF003366"/>
      </patternFill>
    </fill>
    <fill>
      <patternFill patternType="solid">
        <fgColor theme="0"/>
        <bgColor indexed="64"/>
      </patternFill>
    </fill>
    <fill>
      <patternFill patternType="solid">
        <fgColor rgb="FF2E75B6"/>
        <bgColor rgb="FF1F5EBF"/>
      </patternFill>
    </fill>
    <fill>
      <patternFill patternType="solid">
        <fgColor rgb="FFE2EFDA"/>
        <bgColor rgb="FFF2F2F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2" borderId="0" xfId="0" applyFont="1" applyFill="1" applyAlignment="1">
      <alignment horizontal="left"/>
    </xf>
    <xf numFmtId="0" fontId="1" fillId="2" borderId="0" xfId="0" applyFont="1" applyFill="1"/>
    <xf numFmtId="0" fontId="2" fillId="0" borderId="0" xfId="0" applyFont="1"/>
    <xf numFmtId="0" fontId="3" fillId="3" borderId="0" xfId="0" applyFont="1" applyFill="1"/>
    <xf numFmtId="0" fontId="4" fillId="0" borderId="0" xfId="0" applyFont="1"/>
    <xf numFmtId="0" fontId="5" fillId="4" borderId="0" xfId="0" applyFont="1" applyFill="1" applyAlignment="1">
      <alignment horizontal="left"/>
    </xf>
    <xf numFmtId="0" fontId="5" fillId="4" borderId="0" xfId="0" applyFont="1" applyFill="1" applyAlignment="1">
      <alignment horizontal="center"/>
    </xf>
    <xf numFmtId="0" fontId="2" fillId="5" borderId="0" xfId="0" applyFont="1" applyFill="1" applyAlignment="1">
      <alignment horizontal="left"/>
    </xf>
    <xf numFmtId="3" fontId="2" fillId="5" borderId="0" xfId="0" applyNumberFormat="1" applyFont="1" applyFill="1" applyAlignment="1">
      <alignment horizontal="right"/>
    </xf>
    <xf numFmtId="0" fontId="5" fillId="0" borderId="0" xfId="0" applyFont="1"/>
    <xf numFmtId="3" fontId="5" fillId="6" borderId="0" xfId="0" applyNumberFormat="1" applyFont="1" applyFill="1" applyAlignment="1">
      <alignment horizontal="right"/>
    </xf>
    <xf numFmtId="0" fontId="5" fillId="5" borderId="0" xfId="0" applyFont="1" applyFill="1" applyAlignment="1">
      <alignment horizontal="left"/>
    </xf>
    <xf numFmtId="180" fontId="2" fillId="5" borderId="0" xfId="0" applyNumberFormat="1" applyFont="1" applyFill="1" applyAlignment="1">
      <alignment horizontal="right"/>
    </xf>
    <xf numFmtId="3" fontId="5" fillId="5" borderId="0" xfId="0" applyNumberFormat="1" applyFont="1" applyFill="1" applyAlignment="1">
      <alignment horizontal="right"/>
    </xf>
    <xf numFmtId="0" fontId="5" fillId="0" borderId="0" xfId="0" applyFont="1" applyAlignment="1">
      <alignment horizontal="left"/>
    </xf>
    <xf numFmtId="180" fontId="5" fillId="3" borderId="0" xfId="0" applyNumberFormat="1" applyFont="1" applyFill="1" applyAlignment="1">
      <alignment horizontal="right"/>
    </xf>
    <xf numFmtId="3" fontId="5" fillId="3" borderId="0" xfId="0" applyNumberFormat="1" applyFont="1" applyFill="1" applyAlignment="1">
      <alignment horizontal="right"/>
    </xf>
    <xf numFmtId="0" fontId="2" fillId="4" borderId="0" xfId="0" applyFont="1" applyFill="1" applyAlignment="1">
      <alignment horizontal="left"/>
    </xf>
    <xf numFmtId="0" fontId="2" fillId="4" borderId="0" xfId="0" applyFont="1" applyFill="1" applyAlignment="1">
      <alignment horizontal="center"/>
    </xf>
    <xf numFmtId="0" fontId="2" fillId="0" borderId="0" xfId="0" applyFont="1" applyAlignment="1">
      <alignment horizontal="left"/>
    </xf>
    <xf numFmtId="3" fontId="3" fillId="6" borderId="0" xfId="0" applyNumberFormat="1" applyFont="1" applyFill="1" applyAlignment="1">
      <alignment horizontal="right"/>
    </xf>
    <xf numFmtId="3" fontId="2" fillId="3" borderId="0" xfId="0" applyNumberFormat="1" applyFont="1" applyFill="1" applyAlignment="1">
      <alignment horizontal="right"/>
    </xf>
    <xf numFmtId="180" fontId="6" fillId="3" borderId="0" xfId="0" applyNumberFormat="1" applyFont="1" applyFill="1" applyAlignment="1">
      <alignment horizontal="right"/>
    </xf>
    <xf numFmtId="3" fontId="2" fillId="6" borderId="0" xfId="0" applyNumberFormat="1" applyFont="1" applyFill="1" applyAlignment="1">
      <alignment horizontal="right"/>
    </xf>
    <xf numFmtId="180" fontId="2" fillId="3" borderId="0" xfId="0" applyNumberFormat="1" applyFont="1" applyFill="1" applyAlignment="1">
      <alignment horizontal="right"/>
    </xf>
    <xf numFmtId="0" fontId="7" fillId="0" borderId="0" xfId="0" applyFont="1"/>
    <xf numFmtId="180" fontId="2" fillId="6" borderId="0" xfId="0" applyNumberFormat="1" applyFont="1" applyFill="1" applyAlignment="1">
      <alignment horizontal="right"/>
    </xf>
    <xf numFmtId="0" fontId="1" fillId="7" borderId="0" xfId="0" applyFont="1" applyFill="1" applyAlignment="1">
      <alignment horizontal="left"/>
    </xf>
    <xf numFmtId="0" fontId="1" fillId="7" borderId="0" xfId="0" applyFont="1" applyFill="1"/>
    <xf numFmtId="0" fontId="3" fillId="3" borderId="0" xfId="0" applyFont="1" applyFill="1" applyAlignment="1">
      <alignment horizontal="center"/>
    </xf>
    <xf numFmtId="0" fontId="6" fillId="0" borderId="0" xfId="0" applyFont="1"/>
    <xf numFmtId="180" fontId="2" fillId="8" borderId="0" xfId="0" applyNumberFormat="1" applyFont="1" applyFill="1" applyAlignment="1">
      <alignment horizontal="right"/>
    </xf>
    <xf numFmtId="0" fontId="2" fillId="8" borderId="0" xfId="0" applyFont="1" applyFill="1" applyAlignment="1">
      <alignment horizontal="right"/>
    </xf>
    <xf numFmtId="0" fontId="2" fillId="5" borderId="0" xfId="0" applyFont="1" applyFill="1" applyAlignment="1">
      <alignment horizontal="right"/>
    </xf>
    <xf numFmtId="180" fontId="5" fillId="5" borderId="0" xfId="0" applyNumberFormat="1" applyFont="1" applyFill="1" applyAlignment="1">
      <alignment horizontal="right"/>
    </xf>
    <xf numFmtId="0" fontId="5" fillId="5" borderId="0" xfId="0" applyFont="1" applyFill="1" applyAlignment="1">
      <alignment horizontal="right"/>
    </xf>
    <xf numFmtId="0" fontId="1" fillId="9" borderId="0" xfId="0" applyFont="1" applyFill="1"/>
    <xf numFmtId="0" fontId="8" fillId="0" borderId="0" xfId="0" applyFont="1"/>
    <xf numFmtId="0" fontId="1" fillId="0" borderId="0" xfId="0" applyFont="1"/>
    <xf numFmtId="3" fontId="2" fillId="0" borderId="0" xfId="0" applyNumberFormat="1" applyFont="1" applyAlignment="1">
      <alignment horizontal="right"/>
    </xf>
    <xf numFmtId="0" fontId="9" fillId="0" borderId="0" xfId="0" applyFont="1"/>
    <xf numFmtId="180" fontId="2" fillId="0" borderId="0" xfId="0" applyNumberFormat="1" applyFont="1" applyAlignment="1">
      <alignment horizontal="right"/>
    </xf>
    <xf numFmtId="3" fontId="3" fillId="6" borderId="0" xfId="0" applyNumberFormat="1" applyFont="1" applyFill="1"/>
    <xf numFmtId="0" fontId="10" fillId="0" borderId="0" xfId="0" applyFont="1"/>
    <xf numFmtId="0" fontId="1" fillId="2" borderId="0" xfId="0" applyFont="1" applyFill="1" applyAlignment="1">
      <alignment horizontal="center"/>
    </xf>
    <xf numFmtId="0" fontId="0" fillId="2" borderId="0" xfId="0" applyFill="1"/>
    <xf numFmtId="0" fontId="11" fillId="0" borderId="0" xfId="0" applyFont="1"/>
    <xf numFmtId="0" fontId="6" fillId="0" borderId="0" xfId="0" applyFont="1" applyAlignment="1">
      <alignment horizontal="left"/>
    </xf>
    <xf numFmtId="0" fontId="12" fillId="10" borderId="0" xfId="0" applyFont="1" applyFill="1"/>
    <xf numFmtId="0" fontId="13" fillId="0" borderId="0" xfId="0" applyFont="1" applyAlignment="1">
      <alignment horizontal="left"/>
    </xf>
    <xf numFmtId="0" fontId="12" fillId="0" borderId="0" xfId="0" applyFont="1"/>
  </cellXfs>
  <cellStyles count="1">
    <cellStyle name="常规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D6DCE4"/>
      <rgbColor rgb="00808080"/>
      <rgbColor rgb="009999FF"/>
      <rgbColor rgb="00993366"/>
      <rgbColor rgb="00F2F2F2"/>
      <rgbColor rgb="00CCFFFF"/>
      <rgbColor rgb="00660066"/>
      <rgbColor rgb="00FF8080"/>
      <rgbColor rgb="001F5EBF"/>
      <rgbColor rgb="00BDD7EE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E2EFDA"/>
      <rgbColor rgb="00FFFF99"/>
      <rgbColor rgb="0099CCFF"/>
      <rgbColor rgb="00FF99CC"/>
      <rgbColor rgb="00CC99FF"/>
      <rgbColor rgb="00FFCC99"/>
      <rgbColor rgb="002E75B6"/>
      <rgbColor rgb="0033CCCC"/>
      <rgbColor rgb="0099CC00"/>
      <rgbColor rgb="00FFCC00"/>
      <rgbColor rgb="00FF9900"/>
      <rgbColor rgb="00FF6600"/>
      <rgbColor rgb="00666699"/>
      <rgbColor rgb="0070AD47"/>
      <rgbColor rgb="00003366"/>
      <rgbColor rgb="00339966"/>
      <rgbColor rgb="00003300"/>
      <rgbColor rgb="00333300"/>
      <rgbColor rgb="00993300"/>
      <rgbColor rgb="00993366"/>
      <rgbColor rgb="00333399"/>
      <rgbColor rgb="001F3864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E27"/>
  <sheetViews>
    <sheetView zoomScale="140" zoomScaleNormal="140" workbookViewId="0">
      <selection activeCell="B3" sqref="B3"/>
    </sheetView>
  </sheetViews>
  <sheetFormatPr baseColWidth="10" defaultColWidth="8.6640625" defaultRowHeight="15" x14ac:dyDescent="0.2"/>
  <cols>
    <col min="1" max="1" width="3" customWidth="1"/>
    <col min="2" max="2" width="30" customWidth="1"/>
    <col min="3" max="3" width="15" customWidth="1"/>
    <col min="4" max="4" width="30" customWidth="1"/>
    <col min="5" max="5" width="15" customWidth="1"/>
  </cols>
  <sheetData>
    <row r="3" spans="2:5" ht="15" customHeight="1" x14ac:dyDescent="0.2">
      <c r="B3" s="45" t="s">
        <v>0</v>
      </c>
      <c r="C3" s="46"/>
      <c r="D3" s="46"/>
      <c r="E3" s="46"/>
    </row>
    <row r="4" spans="2:5" ht="15" customHeight="1" x14ac:dyDescent="0.2">
      <c r="B4" s="45" t="s">
        <v>1</v>
      </c>
      <c r="C4" s="46"/>
      <c r="D4" s="46"/>
      <c r="E4" s="46"/>
    </row>
    <row r="7" spans="2:5" ht="15" customHeight="1" x14ac:dyDescent="0.2">
      <c r="B7" s="47" t="s">
        <v>2</v>
      </c>
    </row>
    <row r="9" spans="2:5" ht="15" customHeight="1" x14ac:dyDescent="0.2">
      <c r="B9" s="15" t="s">
        <v>3</v>
      </c>
      <c r="C9" s="40">
        <v>3809054</v>
      </c>
      <c r="D9" s="15" t="s">
        <v>4</v>
      </c>
      <c r="E9" s="48" t="s">
        <v>5</v>
      </c>
    </row>
    <row r="10" spans="2:5" ht="15" customHeight="1" x14ac:dyDescent="0.2">
      <c r="B10" s="15" t="s">
        <v>6</v>
      </c>
      <c r="C10" s="42">
        <v>0.316</v>
      </c>
      <c r="D10" s="15" t="s">
        <v>7</v>
      </c>
      <c r="E10" s="48" t="s">
        <v>8</v>
      </c>
    </row>
    <row r="11" spans="2:5" ht="15" customHeight="1" x14ac:dyDescent="0.2">
      <c r="B11" s="15" t="s">
        <v>9</v>
      </c>
      <c r="C11" s="42">
        <v>0.59899999999999998</v>
      </c>
      <c r="D11" s="15" t="s">
        <v>10</v>
      </c>
      <c r="E11" s="48" t="s">
        <v>11</v>
      </c>
    </row>
    <row r="12" spans="2:5" ht="15" customHeight="1" x14ac:dyDescent="0.2">
      <c r="B12" s="15" t="s">
        <v>12</v>
      </c>
      <c r="C12" s="40">
        <v>66.260000000000005</v>
      </c>
    </row>
    <row r="15" spans="2:5" ht="15" customHeight="1" x14ac:dyDescent="0.2">
      <c r="B15" s="10" t="s">
        <v>13</v>
      </c>
    </row>
    <row r="16" spans="2:5" ht="15" customHeight="1" x14ac:dyDescent="0.2">
      <c r="B16" s="49" t="s">
        <v>14</v>
      </c>
      <c r="C16" s="49" t="s">
        <v>15</v>
      </c>
    </row>
    <row r="17" spans="2:3" ht="15" customHeight="1" x14ac:dyDescent="0.2">
      <c r="B17" s="50" t="s">
        <v>16</v>
      </c>
      <c r="C17" s="20" t="s">
        <v>17</v>
      </c>
    </row>
    <row r="18" spans="2:3" ht="15" customHeight="1" x14ac:dyDescent="0.2">
      <c r="B18" s="50" t="s">
        <v>18</v>
      </c>
      <c r="C18" s="20" t="s">
        <v>19</v>
      </c>
    </row>
    <row r="19" spans="2:3" ht="15" customHeight="1" x14ac:dyDescent="0.2">
      <c r="B19" s="50" t="s">
        <v>20</v>
      </c>
      <c r="C19" s="20" t="s">
        <v>21</v>
      </c>
    </row>
    <row r="20" spans="2:3" ht="15" customHeight="1" x14ac:dyDescent="0.2">
      <c r="B20" s="50" t="s">
        <v>22</v>
      </c>
      <c r="C20" s="20" t="s">
        <v>23</v>
      </c>
    </row>
    <row r="23" spans="2:3" ht="15" customHeight="1" x14ac:dyDescent="0.2">
      <c r="B23" s="51" t="s">
        <v>24</v>
      </c>
    </row>
    <row r="24" spans="2:3" ht="15" customHeight="1" x14ac:dyDescent="0.2">
      <c r="B24" s="20" t="s">
        <v>25</v>
      </c>
    </row>
    <row r="25" spans="2:3" ht="15" customHeight="1" x14ac:dyDescent="0.2">
      <c r="B25" s="20" t="s">
        <v>26</v>
      </c>
    </row>
    <row r="26" spans="2:3" ht="15" customHeight="1" x14ac:dyDescent="0.2">
      <c r="B26" s="20" t="s">
        <v>27</v>
      </c>
    </row>
    <row r="27" spans="2:3" ht="15" customHeight="1" x14ac:dyDescent="0.2">
      <c r="B27" s="20" t="s">
        <v>28</v>
      </c>
    </row>
  </sheetData>
  <phoneticPr fontId="14" type="noConversion"/>
  <pageMargins left="0.75" right="0.75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E47"/>
  <sheetViews>
    <sheetView workbookViewId="0">
      <selection activeCell="G27" sqref="G27"/>
    </sheetView>
  </sheetViews>
  <sheetFormatPr baseColWidth="10" defaultColWidth="8.6640625" defaultRowHeight="15" x14ac:dyDescent="0.2"/>
  <cols>
    <col min="1" max="1" width="3" customWidth="1"/>
    <col min="2" max="2" width="32" customWidth="1"/>
    <col min="3" max="5" width="14" customWidth="1"/>
  </cols>
  <sheetData>
    <row r="2" spans="2:5" ht="15" customHeight="1" x14ac:dyDescent="0.2">
      <c r="B2" s="1" t="s">
        <v>29</v>
      </c>
      <c r="C2" s="2"/>
      <c r="D2" s="2"/>
      <c r="E2" s="2"/>
    </row>
    <row r="3" spans="2:5" ht="15" customHeight="1" x14ac:dyDescent="0.2">
      <c r="B3" s="5" t="s">
        <v>30</v>
      </c>
    </row>
    <row r="5" spans="2:5" ht="15" customHeight="1" x14ac:dyDescent="0.2">
      <c r="B5" s="1" t="s">
        <v>31</v>
      </c>
      <c r="C5" s="2"/>
      <c r="D5" s="2"/>
      <c r="E5" s="2"/>
    </row>
    <row r="6" spans="2:5" ht="15" customHeight="1" x14ac:dyDescent="0.2">
      <c r="B6" s="6"/>
      <c r="C6" s="7" t="s">
        <v>32</v>
      </c>
      <c r="D6" s="7" t="s">
        <v>33</v>
      </c>
    </row>
    <row r="7" spans="2:5" ht="15" customHeight="1" x14ac:dyDescent="0.2">
      <c r="B7" s="20" t="s">
        <v>34</v>
      </c>
      <c r="C7" s="40">
        <v>1476891</v>
      </c>
      <c r="D7" s="40">
        <v>2192931</v>
      </c>
    </row>
    <row r="8" spans="2:5" ht="15" customHeight="1" x14ac:dyDescent="0.2">
      <c r="B8" s="20" t="s">
        <v>35</v>
      </c>
      <c r="C8" s="40">
        <v>1005130</v>
      </c>
      <c r="D8" s="40">
        <v>1110816</v>
      </c>
    </row>
    <row r="9" spans="2:5" ht="15" customHeight="1" x14ac:dyDescent="0.2">
      <c r="B9" s="20" t="s">
        <v>36</v>
      </c>
      <c r="C9" s="40">
        <v>165516</v>
      </c>
      <c r="D9" s="40">
        <v>191047</v>
      </c>
    </row>
    <row r="10" spans="2:5" ht="15" customHeight="1" x14ac:dyDescent="0.2">
      <c r="B10" s="20" t="s">
        <v>37</v>
      </c>
      <c r="C10" s="40">
        <v>139323</v>
      </c>
      <c r="D10" s="40">
        <v>186667</v>
      </c>
    </row>
    <row r="11" spans="2:5" ht="15" customHeight="1" x14ac:dyDescent="0.2">
      <c r="B11" s="20" t="s">
        <v>38</v>
      </c>
      <c r="C11" s="40">
        <v>47960</v>
      </c>
      <c r="D11" s="40">
        <v>47996</v>
      </c>
    </row>
    <row r="12" spans="2:5" ht="15" customHeight="1" x14ac:dyDescent="0.2">
      <c r="B12" s="20" t="s">
        <v>39</v>
      </c>
      <c r="C12" s="40">
        <v>59487</v>
      </c>
      <c r="D12" s="40">
        <v>79597</v>
      </c>
    </row>
    <row r="13" spans="2:5" ht="15" customHeight="1" x14ac:dyDescent="0.2">
      <c r="B13" s="20" t="s">
        <v>40</v>
      </c>
      <c r="C13" s="40">
        <f>SUM(C7:C12)</f>
        <v>2894307</v>
      </c>
      <c r="D13" s="40">
        <f>SUM(D7:D12)</f>
        <v>3809054</v>
      </c>
    </row>
    <row r="14" spans="2:5" ht="15" customHeight="1" x14ac:dyDescent="0.2">
      <c r="B14" s="41" t="s">
        <v>41</v>
      </c>
    </row>
    <row r="15" spans="2:5" ht="15" customHeight="1" x14ac:dyDescent="0.2">
      <c r="B15" s="20" t="s">
        <v>42</v>
      </c>
      <c r="D15" s="42">
        <f t="shared" ref="D15:D21" si="0">(D7-C7)/C7</f>
        <v>0.4848292798859225</v>
      </c>
    </row>
    <row r="16" spans="2:5" ht="15" customHeight="1" x14ac:dyDescent="0.2">
      <c r="B16" s="20" t="s">
        <v>43</v>
      </c>
      <c r="D16" s="42">
        <f t="shared" si="0"/>
        <v>0.10514659795250365</v>
      </c>
    </row>
    <row r="17" spans="2:5" ht="15" customHeight="1" x14ac:dyDescent="0.2">
      <c r="B17" s="20" t="s">
        <v>44</v>
      </c>
      <c r="D17" s="42">
        <f t="shared" si="0"/>
        <v>0.15425094854878077</v>
      </c>
    </row>
    <row r="18" spans="2:5" ht="15" customHeight="1" x14ac:dyDescent="0.2">
      <c r="B18" s="20" t="s">
        <v>45</v>
      </c>
      <c r="D18" s="42">
        <f t="shared" si="0"/>
        <v>0.33981467525103537</v>
      </c>
    </row>
    <row r="19" spans="2:5" ht="15" customHeight="1" x14ac:dyDescent="0.2">
      <c r="B19" s="20" t="s">
        <v>46</v>
      </c>
      <c r="D19" s="42">
        <f t="shared" si="0"/>
        <v>7.5062552126772309E-4</v>
      </c>
    </row>
    <row r="20" spans="2:5" ht="15" customHeight="1" x14ac:dyDescent="0.2">
      <c r="B20" s="20" t="s">
        <v>47</v>
      </c>
      <c r="D20" s="42">
        <f t="shared" si="0"/>
        <v>0.33805705448249196</v>
      </c>
    </row>
    <row r="21" spans="2:5" ht="15" customHeight="1" x14ac:dyDescent="0.2">
      <c r="B21" s="20" t="s">
        <v>48</v>
      </c>
      <c r="D21" s="42">
        <f t="shared" si="0"/>
        <v>0.31605043970801994</v>
      </c>
    </row>
    <row r="24" spans="2:5" ht="15" customHeight="1" x14ac:dyDescent="0.2">
      <c r="B24" s="1" t="s">
        <v>49</v>
      </c>
      <c r="C24" s="2"/>
      <c r="D24" s="2"/>
      <c r="E24" s="2"/>
    </row>
    <row r="25" spans="2:5" ht="15" customHeight="1" x14ac:dyDescent="0.2">
      <c r="B25" s="6"/>
      <c r="C25" s="19" t="s">
        <v>32</v>
      </c>
      <c r="D25" s="19" t="s">
        <v>33</v>
      </c>
    </row>
    <row r="26" spans="2:5" ht="15" customHeight="1" x14ac:dyDescent="0.2">
      <c r="B26" s="20" t="s">
        <v>50</v>
      </c>
      <c r="C26" s="40">
        <v>2894308</v>
      </c>
      <c r="D26" s="40">
        <v>3809054</v>
      </c>
    </row>
    <row r="27" spans="2:5" ht="15" customHeight="1" x14ac:dyDescent="0.2">
      <c r="B27" s="20" t="s">
        <v>51</v>
      </c>
      <c r="C27" s="40">
        <v>-1269954</v>
      </c>
      <c r="D27" s="40">
        <v>-1527760</v>
      </c>
    </row>
    <row r="28" spans="2:5" ht="15" customHeight="1" x14ac:dyDescent="0.2">
      <c r="B28" s="20" t="s">
        <v>52</v>
      </c>
      <c r="C28" s="40">
        <f>C26+C27</f>
        <v>1624354</v>
      </c>
      <c r="D28" s="40">
        <f>D26+D27</f>
        <v>2281294</v>
      </c>
    </row>
    <row r="29" spans="2:5" ht="15" customHeight="1" x14ac:dyDescent="0.2">
      <c r="B29" s="20" t="s">
        <v>53</v>
      </c>
      <c r="C29" s="42">
        <f>C28/C26</f>
        <v>0.56122361545488597</v>
      </c>
      <c r="D29" s="42">
        <f>D28/D26</f>
        <v>0.59891353601182862</v>
      </c>
    </row>
    <row r="30" spans="2:5" ht="15" customHeight="1" x14ac:dyDescent="0.2">
      <c r="B30" s="20" t="s">
        <v>54</v>
      </c>
      <c r="C30" s="40">
        <v>-301070</v>
      </c>
      <c r="D30" s="40">
        <v>-345650</v>
      </c>
    </row>
    <row r="31" spans="2:5" ht="15" customHeight="1" x14ac:dyDescent="0.2">
      <c r="B31" s="20" t="s">
        <v>55</v>
      </c>
      <c r="C31" s="40">
        <f>C28+C30</f>
        <v>1323284</v>
      </c>
      <c r="D31" s="40">
        <f>D28+D30</f>
        <v>1935644</v>
      </c>
    </row>
    <row r="32" spans="2:5" ht="15" customHeight="1" x14ac:dyDescent="0.2">
      <c r="B32" s="20" t="s">
        <v>56</v>
      </c>
      <c r="C32" s="42">
        <f>C31/C26</f>
        <v>0.4572022051557747</v>
      </c>
      <c r="D32" s="42">
        <f>D31/D26</f>
        <v>0.50816921996905273</v>
      </c>
    </row>
    <row r="33" spans="1:5" ht="15" customHeight="1" x14ac:dyDescent="0.2">
      <c r="B33" s="20" t="s">
        <v>57</v>
      </c>
      <c r="C33" s="40">
        <v>1172432</v>
      </c>
      <c r="D33" s="40">
        <v>1715397</v>
      </c>
    </row>
    <row r="34" spans="1:5" ht="15" customHeight="1" x14ac:dyDescent="0.2">
      <c r="B34" s="20" t="s">
        <v>58</v>
      </c>
      <c r="C34" s="42">
        <f>C33/C26</f>
        <v>0.4050819746896322</v>
      </c>
      <c r="D34" s="42">
        <f>D33/D26</f>
        <v>0.45034725157480049</v>
      </c>
    </row>
    <row r="35" spans="1:5" ht="15" customHeight="1" x14ac:dyDescent="0.2">
      <c r="B35" s="20" t="s">
        <v>59</v>
      </c>
      <c r="C35" s="40">
        <v>45.25</v>
      </c>
      <c r="D35" s="40">
        <v>66.260000000000005</v>
      </c>
    </row>
    <row r="37" spans="1:5" ht="15" customHeight="1" x14ac:dyDescent="0.2">
      <c r="B37" s="1" t="s">
        <v>60</v>
      </c>
      <c r="C37" s="2"/>
      <c r="D37" s="2"/>
      <c r="E37" s="2"/>
    </row>
    <row r="38" spans="1:5" ht="15" customHeight="1" x14ac:dyDescent="0.2">
      <c r="B38" s="20" t="s">
        <v>61</v>
      </c>
      <c r="C38" s="43">
        <v>956007</v>
      </c>
      <c r="D38" s="43">
        <v>1272411</v>
      </c>
    </row>
    <row r="39" spans="1:5" ht="15" customHeight="1" x14ac:dyDescent="0.2">
      <c r="B39" s="20" t="s">
        <v>62</v>
      </c>
      <c r="C39" s="43">
        <v>662797</v>
      </c>
      <c r="D39" s="43">
        <v>688096</v>
      </c>
    </row>
    <row r="40" spans="1:5" ht="15" customHeight="1" x14ac:dyDescent="0.2">
      <c r="B40" s="20" t="s">
        <v>63</v>
      </c>
      <c r="C40" s="43">
        <v>1826177</v>
      </c>
      <c r="D40" s="43">
        <v>2274976</v>
      </c>
    </row>
    <row r="41" spans="1:5" ht="15" customHeight="1" x14ac:dyDescent="0.2">
      <c r="B41" s="20" t="s">
        <v>64</v>
      </c>
      <c r="C41" s="43">
        <v>25932733</v>
      </c>
      <c r="D41" s="43">
        <v>25932524</v>
      </c>
    </row>
    <row r="42" spans="1:5" ht="15" customHeight="1" x14ac:dyDescent="0.2">
      <c r="B42" s="20" t="s">
        <v>65</v>
      </c>
      <c r="C42" s="43">
        <v>17</v>
      </c>
      <c r="D42" s="43">
        <v>22</v>
      </c>
    </row>
    <row r="44" spans="1:5" ht="15" customHeight="1" x14ac:dyDescent="0.2">
      <c r="A44" s="44"/>
      <c r="B44" s="44"/>
      <c r="C44" s="44"/>
      <c r="D44" s="44"/>
      <c r="E44" s="44"/>
    </row>
    <row r="45" spans="1:5" ht="15" customHeight="1" x14ac:dyDescent="0.2">
      <c r="A45" s="44"/>
      <c r="B45" s="44"/>
      <c r="C45" s="44"/>
      <c r="D45" s="44"/>
      <c r="E45" s="44"/>
    </row>
    <row r="46" spans="1:5" ht="15" customHeight="1" x14ac:dyDescent="0.2">
      <c r="A46" s="44"/>
      <c r="B46" s="44"/>
      <c r="C46" s="44"/>
      <c r="D46" s="44"/>
      <c r="E46" s="44"/>
    </row>
    <row r="47" spans="1:5" ht="15" customHeight="1" x14ac:dyDescent="0.2">
      <c r="A47" s="44"/>
      <c r="B47" s="44"/>
      <c r="C47" s="44"/>
      <c r="D47" s="44"/>
      <c r="E47" s="44"/>
    </row>
  </sheetData>
  <phoneticPr fontId="14" type="noConversion"/>
  <pageMargins left="0.75" right="0.75" top="1" bottom="1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F59"/>
  <sheetViews>
    <sheetView workbookViewId="0">
      <selection activeCell="D23" sqref="D23"/>
    </sheetView>
  </sheetViews>
  <sheetFormatPr baseColWidth="10" defaultColWidth="8.6640625" defaultRowHeight="15" x14ac:dyDescent="0.2"/>
  <cols>
    <col min="1" max="1" width="3" customWidth="1"/>
    <col min="2" max="2" width="38" customWidth="1"/>
    <col min="3" max="5" width="12" customWidth="1"/>
    <col min="6" max="6" width="8" customWidth="1"/>
  </cols>
  <sheetData>
    <row r="2" spans="2:6" ht="15" customHeight="1" x14ac:dyDescent="0.2">
      <c r="B2" s="1" t="s">
        <v>66</v>
      </c>
      <c r="C2" s="2"/>
      <c r="D2" s="2"/>
      <c r="E2" s="2"/>
      <c r="F2" s="2"/>
    </row>
    <row r="4" spans="2:6" ht="15" customHeight="1" x14ac:dyDescent="0.2">
      <c r="B4" s="28" t="s">
        <v>67</v>
      </c>
      <c r="C4" s="29"/>
      <c r="D4" s="29"/>
      <c r="E4" s="29"/>
      <c r="F4" s="29"/>
    </row>
    <row r="5" spans="2:6" ht="15" customHeight="1" x14ac:dyDescent="0.2">
      <c r="B5" s="20" t="s">
        <v>68</v>
      </c>
      <c r="C5" s="30">
        <v>2</v>
      </c>
      <c r="E5" s="5" t="s">
        <v>69</v>
      </c>
    </row>
    <row r="6" spans="2:6" ht="15" customHeight="1" x14ac:dyDescent="0.2">
      <c r="B6" s="20" t="s">
        <v>70</v>
      </c>
      <c r="C6" s="5" t="s">
        <v>71</v>
      </c>
    </row>
    <row r="7" spans="2:6" ht="15" customHeight="1" x14ac:dyDescent="0.2">
      <c r="B7" s="20" t="s">
        <v>72</v>
      </c>
      <c r="C7" s="5" t="s">
        <v>73</v>
      </c>
    </row>
    <row r="8" spans="2:6" ht="15" customHeight="1" x14ac:dyDescent="0.2">
      <c r="B8" s="20" t="s">
        <v>74</v>
      </c>
      <c r="C8" s="5" t="s">
        <v>75</v>
      </c>
    </row>
    <row r="10" spans="2:6" ht="15" customHeight="1" x14ac:dyDescent="0.2">
      <c r="B10" s="1" t="s">
        <v>76</v>
      </c>
      <c r="C10" s="2"/>
      <c r="D10" s="2"/>
      <c r="E10" s="2"/>
      <c r="F10" s="2"/>
    </row>
    <row r="11" spans="2:6" ht="15" customHeight="1" x14ac:dyDescent="0.2">
      <c r="B11" s="15" t="s">
        <v>77</v>
      </c>
      <c r="C11" s="31" t="s">
        <v>78</v>
      </c>
    </row>
    <row r="12" spans="2:6" ht="15" customHeight="1" x14ac:dyDescent="0.2">
      <c r="B12" s="6" t="s">
        <v>79</v>
      </c>
      <c r="C12" s="7" t="s">
        <v>80</v>
      </c>
      <c r="D12" s="7" t="s">
        <v>81</v>
      </c>
      <c r="E12" s="7" t="s">
        <v>82</v>
      </c>
      <c r="F12" s="7" t="s">
        <v>83</v>
      </c>
    </row>
    <row r="13" spans="2:6" ht="15" customHeight="1" x14ac:dyDescent="0.2">
      <c r="B13" s="15" t="s">
        <v>84</v>
      </c>
      <c r="C13" s="32">
        <f>CHOOSE($C$5,C14,C15,C16)</f>
        <v>0.3</v>
      </c>
      <c r="D13" s="32">
        <f>CHOOSE($C$5,D14,D15,D16)</f>
        <v>0.25</v>
      </c>
      <c r="E13" s="32">
        <f>CHOOSE($C$5,E14,E15,E16)</f>
        <v>0.2</v>
      </c>
      <c r="F13" s="33" t="s">
        <v>85</v>
      </c>
    </row>
    <row r="14" spans="2:6" ht="15" customHeight="1" x14ac:dyDescent="0.2">
      <c r="B14" s="8" t="s">
        <v>86</v>
      </c>
      <c r="C14" s="13">
        <v>0.2</v>
      </c>
      <c r="D14" s="13">
        <v>0.15</v>
      </c>
      <c r="E14" s="13">
        <v>0.12</v>
      </c>
      <c r="F14" s="34" t="s">
        <v>85</v>
      </c>
    </row>
    <row r="15" spans="2:6" ht="15" customHeight="1" x14ac:dyDescent="0.2">
      <c r="B15" s="8" t="s">
        <v>87</v>
      </c>
      <c r="C15" s="13">
        <v>0.3</v>
      </c>
      <c r="D15" s="13">
        <v>0.25</v>
      </c>
      <c r="E15" s="13">
        <v>0.2</v>
      </c>
      <c r="F15" s="34" t="s">
        <v>85</v>
      </c>
    </row>
    <row r="16" spans="2:6" ht="15" customHeight="1" x14ac:dyDescent="0.2">
      <c r="B16" s="8" t="s">
        <v>88</v>
      </c>
      <c r="C16" s="13">
        <v>0.4</v>
      </c>
      <c r="D16" s="13">
        <v>0.35</v>
      </c>
      <c r="E16" s="13">
        <v>0.28000000000000003</v>
      </c>
      <c r="F16" s="34" t="s">
        <v>85</v>
      </c>
    </row>
    <row r="17" spans="2:6" ht="15" customHeight="1" x14ac:dyDescent="0.2">
      <c r="B17" s="12" t="s">
        <v>89</v>
      </c>
      <c r="C17" s="35">
        <f>CHOOSE($C$5,C14,C15,C16)</f>
        <v>0.3</v>
      </c>
      <c r="D17" s="35">
        <f>CHOOSE($C$5,D14,D15,D16)</f>
        <v>0.25</v>
      </c>
      <c r="E17" s="35">
        <f>CHOOSE($C$5,E14,E15,E16)</f>
        <v>0.2</v>
      </c>
      <c r="F17" s="36" t="s">
        <v>85</v>
      </c>
    </row>
    <row r="18" spans="2:6" ht="15" customHeight="1" x14ac:dyDescent="0.2">
      <c r="B18" s="1" t="s">
        <v>90</v>
      </c>
      <c r="C18" s="2"/>
      <c r="D18" s="2"/>
      <c r="E18" s="2"/>
      <c r="F18" s="2"/>
    </row>
    <row r="19" spans="2:6" ht="15" customHeight="1" x14ac:dyDescent="0.2">
      <c r="B19" s="6"/>
      <c r="C19" s="7" t="s">
        <v>80</v>
      </c>
      <c r="D19" s="7" t="s">
        <v>81</v>
      </c>
      <c r="E19" s="7" t="s">
        <v>82</v>
      </c>
      <c r="F19" s="7" t="s">
        <v>83</v>
      </c>
    </row>
    <row r="20" spans="2:6" ht="15" customHeight="1" x14ac:dyDescent="0.2">
      <c r="B20" s="28" t="s">
        <v>91</v>
      </c>
      <c r="C20" s="29"/>
      <c r="D20" s="29"/>
      <c r="E20" s="29"/>
      <c r="F20" s="29"/>
    </row>
    <row r="21" spans="2:6" ht="15" customHeight="1" x14ac:dyDescent="0.2">
      <c r="B21" s="8" t="s">
        <v>86</v>
      </c>
      <c r="C21" s="13">
        <v>0.03</v>
      </c>
      <c r="D21" s="13">
        <v>0.02</v>
      </c>
      <c r="E21" s="13">
        <v>0.02</v>
      </c>
      <c r="F21" s="34" t="s">
        <v>85</v>
      </c>
    </row>
    <row r="22" spans="2:6" ht="15" customHeight="1" x14ac:dyDescent="0.2">
      <c r="B22" s="8" t="s">
        <v>87</v>
      </c>
      <c r="C22" s="13">
        <v>0.08</v>
      </c>
      <c r="D22" s="13">
        <v>0.06</v>
      </c>
      <c r="E22" s="13">
        <v>0.05</v>
      </c>
      <c r="F22" s="34" t="s">
        <v>85</v>
      </c>
    </row>
    <row r="23" spans="2:6" ht="15" customHeight="1" x14ac:dyDescent="0.2">
      <c r="B23" s="8" t="s">
        <v>88</v>
      </c>
      <c r="C23" s="13">
        <v>0.12</v>
      </c>
      <c r="D23" s="13">
        <v>0.1</v>
      </c>
      <c r="E23" s="13">
        <v>0.08</v>
      </c>
      <c r="F23" s="34" t="s">
        <v>85</v>
      </c>
    </row>
    <row r="24" spans="2:6" ht="15" customHeight="1" x14ac:dyDescent="0.2">
      <c r="B24" s="12" t="s">
        <v>89</v>
      </c>
      <c r="C24" s="35">
        <f>CHOOSE($C$5,C21,C22,C23)</f>
        <v>0.08</v>
      </c>
      <c r="D24" s="35">
        <f>CHOOSE($C$5,D21,D22,D23)</f>
        <v>0.06</v>
      </c>
      <c r="E24" s="35">
        <f>CHOOSE($C$5,E21,E22,E23)</f>
        <v>0.05</v>
      </c>
      <c r="F24" s="36" t="s">
        <v>85</v>
      </c>
    </row>
    <row r="25" spans="2:6" ht="15" customHeight="1" x14ac:dyDescent="0.2">
      <c r="B25" s="1" t="s">
        <v>92</v>
      </c>
      <c r="C25" s="2"/>
      <c r="D25" s="2"/>
      <c r="E25" s="2"/>
      <c r="F25" s="2"/>
    </row>
    <row r="26" spans="2:6" ht="15" customHeight="1" x14ac:dyDescent="0.2">
      <c r="B26" s="6"/>
      <c r="C26" s="7" t="s">
        <v>80</v>
      </c>
      <c r="D26" s="7" t="s">
        <v>81</v>
      </c>
      <c r="E26" s="7" t="s">
        <v>82</v>
      </c>
      <c r="F26" s="7" t="s">
        <v>83</v>
      </c>
    </row>
    <row r="27" spans="2:6" ht="15" customHeight="1" x14ac:dyDescent="0.2">
      <c r="B27" s="28" t="s">
        <v>93</v>
      </c>
      <c r="C27" s="29"/>
      <c r="D27" s="29"/>
      <c r="E27" s="29"/>
      <c r="F27" s="29"/>
    </row>
    <row r="28" spans="2:6" ht="15" customHeight="1" x14ac:dyDescent="0.2">
      <c r="B28" s="8" t="s">
        <v>86</v>
      </c>
      <c r="C28" s="13">
        <v>0.05</v>
      </c>
      <c r="D28" s="13">
        <v>0.04</v>
      </c>
      <c r="E28" s="13">
        <v>0.03</v>
      </c>
      <c r="F28" s="34" t="s">
        <v>85</v>
      </c>
    </row>
    <row r="29" spans="2:6" ht="15" customHeight="1" x14ac:dyDescent="0.2">
      <c r="B29" s="8" t="s">
        <v>87</v>
      </c>
      <c r="C29" s="13">
        <v>0.12</v>
      </c>
      <c r="D29" s="13">
        <v>0.1</v>
      </c>
      <c r="E29" s="13">
        <v>0.08</v>
      </c>
      <c r="F29" s="34" t="s">
        <v>85</v>
      </c>
    </row>
    <row r="30" spans="2:6" ht="15" customHeight="1" x14ac:dyDescent="0.2">
      <c r="B30" s="8" t="s">
        <v>88</v>
      </c>
      <c r="C30" s="13">
        <v>0.18</v>
      </c>
      <c r="D30" s="13">
        <v>0.15</v>
      </c>
      <c r="E30" s="13">
        <v>0.12</v>
      </c>
      <c r="F30" s="34" t="s">
        <v>85</v>
      </c>
    </row>
    <row r="31" spans="2:6" ht="15" customHeight="1" x14ac:dyDescent="0.2">
      <c r="B31" s="12" t="s">
        <v>89</v>
      </c>
      <c r="C31" s="35">
        <f>CHOOSE($C$5,C28,C29,C30)</f>
        <v>0.12</v>
      </c>
      <c r="D31" s="35">
        <f>CHOOSE($C$5,D28,D29,D30)</f>
        <v>0.1</v>
      </c>
      <c r="E31" s="35">
        <f>CHOOSE($C$5,E28,E29,E30)</f>
        <v>0.08</v>
      </c>
      <c r="F31" s="36" t="s">
        <v>85</v>
      </c>
    </row>
    <row r="32" spans="2:6" ht="15" customHeight="1" x14ac:dyDescent="0.2">
      <c r="B32" s="1" t="s">
        <v>94</v>
      </c>
      <c r="C32" s="2"/>
      <c r="D32" s="2"/>
      <c r="E32" s="2"/>
      <c r="F32" s="2"/>
    </row>
    <row r="33" spans="2:6" ht="15" customHeight="1" x14ac:dyDescent="0.2">
      <c r="B33" s="6" t="s">
        <v>53</v>
      </c>
      <c r="C33" s="7" t="s">
        <v>80</v>
      </c>
      <c r="D33" s="7" t="s">
        <v>81</v>
      </c>
      <c r="E33" s="7" t="s">
        <v>82</v>
      </c>
      <c r="F33" s="7" t="s">
        <v>83</v>
      </c>
    </row>
    <row r="34" spans="2:6" ht="15" customHeight="1" x14ac:dyDescent="0.2">
      <c r="B34" s="8" t="s">
        <v>86</v>
      </c>
      <c r="C34" s="13">
        <v>0.55000000000000004</v>
      </c>
      <c r="D34" s="13">
        <v>0.54</v>
      </c>
      <c r="E34" s="13">
        <v>0.53</v>
      </c>
      <c r="F34" s="34" t="s">
        <v>85</v>
      </c>
    </row>
    <row r="35" spans="2:6" ht="15" customHeight="1" x14ac:dyDescent="0.2">
      <c r="B35" s="8" t="s">
        <v>87</v>
      </c>
      <c r="C35" s="13">
        <v>0.59</v>
      </c>
      <c r="D35" s="13">
        <v>0.57999999999999996</v>
      </c>
      <c r="E35" s="13">
        <v>0.56999999999999995</v>
      </c>
      <c r="F35" s="34" t="s">
        <v>85</v>
      </c>
    </row>
    <row r="36" spans="2:6" ht="15" customHeight="1" x14ac:dyDescent="0.2">
      <c r="B36" s="8" t="s">
        <v>88</v>
      </c>
      <c r="C36" s="13">
        <v>0.62</v>
      </c>
      <c r="D36" s="13">
        <v>0.61</v>
      </c>
      <c r="E36" s="13">
        <v>0.6</v>
      </c>
      <c r="F36" s="34" t="s">
        <v>85</v>
      </c>
    </row>
    <row r="37" spans="2:6" ht="15" customHeight="1" x14ac:dyDescent="0.2">
      <c r="B37" s="12" t="s">
        <v>89</v>
      </c>
      <c r="C37" s="35">
        <f>CHOOSE($C$5,C34,C35,C36)</f>
        <v>0.59</v>
      </c>
      <c r="D37" s="35">
        <f>CHOOSE($C$5,D34,D35,D36)</f>
        <v>0.57999999999999996</v>
      </c>
      <c r="E37" s="35">
        <f>CHOOSE($C$5,E34,E35,E36)</f>
        <v>0.56999999999999995</v>
      </c>
      <c r="F37" s="36" t="s">
        <v>85</v>
      </c>
    </row>
    <row r="38" spans="2:6" ht="15" customHeight="1" x14ac:dyDescent="0.2">
      <c r="B38" s="1" t="s">
        <v>95</v>
      </c>
      <c r="C38" s="2"/>
      <c r="D38" s="2"/>
      <c r="E38" s="2"/>
      <c r="F38" s="2"/>
    </row>
    <row r="39" spans="2:6" ht="15" customHeight="1" x14ac:dyDescent="0.2">
      <c r="B39" s="6" t="s">
        <v>96</v>
      </c>
      <c r="C39" s="7" t="s">
        <v>80</v>
      </c>
      <c r="D39" s="7" t="s">
        <v>81</v>
      </c>
      <c r="E39" s="7" t="s">
        <v>82</v>
      </c>
      <c r="F39" s="7" t="s">
        <v>83</v>
      </c>
    </row>
    <row r="40" spans="2:6" ht="15" customHeight="1" x14ac:dyDescent="0.2">
      <c r="B40" s="8" t="s">
        <v>86</v>
      </c>
      <c r="C40" s="13">
        <v>0.1</v>
      </c>
      <c r="D40" s="13">
        <v>0.1</v>
      </c>
      <c r="E40" s="13">
        <v>0.11</v>
      </c>
      <c r="F40" s="34" t="s">
        <v>85</v>
      </c>
    </row>
    <row r="41" spans="2:6" ht="15" customHeight="1" x14ac:dyDescent="0.2">
      <c r="B41" s="8" t="s">
        <v>87</v>
      </c>
      <c r="C41" s="13">
        <v>0.09</v>
      </c>
      <c r="D41" s="13">
        <v>0.09</v>
      </c>
      <c r="E41" s="13">
        <v>0.09</v>
      </c>
      <c r="F41" s="34" t="s">
        <v>85</v>
      </c>
    </row>
    <row r="42" spans="2:6" ht="15" customHeight="1" x14ac:dyDescent="0.2">
      <c r="B42" s="8" t="s">
        <v>88</v>
      </c>
      <c r="C42" s="13">
        <v>0.08</v>
      </c>
      <c r="D42" s="13">
        <v>0.08</v>
      </c>
      <c r="E42" s="13">
        <v>0.08</v>
      </c>
      <c r="F42" s="34" t="s">
        <v>85</v>
      </c>
    </row>
    <row r="43" spans="2:6" ht="15" customHeight="1" x14ac:dyDescent="0.2">
      <c r="B43" s="12" t="s">
        <v>89</v>
      </c>
      <c r="C43" s="35">
        <f>CHOOSE($C$5,C40,C41,C42)</f>
        <v>0.09</v>
      </c>
      <c r="D43" s="35">
        <f>CHOOSE($C$5,D40,D41,D42)</f>
        <v>0.09</v>
      </c>
      <c r="E43" s="35">
        <f>CHOOSE($C$5,E40,E41,E42)</f>
        <v>0.09</v>
      </c>
      <c r="F43" s="36" t="s">
        <v>85</v>
      </c>
    </row>
    <row r="44" spans="2:6" ht="15" customHeight="1" x14ac:dyDescent="0.2">
      <c r="B44" s="1" t="s">
        <v>97</v>
      </c>
      <c r="C44" s="2"/>
      <c r="D44" s="2"/>
      <c r="E44" s="2"/>
      <c r="F44" s="2"/>
    </row>
    <row r="45" spans="2:6" ht="15" customHeight="1" x14ac:dyDescent="0.2">
      <c r="B45" s="6" t="s">
        <v>98</v>
      </c>
      <c r="C45" s="7" t="s">
        <v>80</v>
      </c>
      <c r="D45" s="7" t="s">
        <v>81</v>
      </c>
      <c r="E45" s="7" t="s">
        <v>82</v>
      </c>
      <c r="F45" s="7" t="s">
        <v>83</v>
      </c>
    </row>
    <row r="46" spans="2:6" ht="15" customHeight="1" x14ac:dyDescent="0.2">
      <c r="B46" s="8" t="s">
        <v>86</v>
      </c>
      <c r="C46" s="13">
        <v>0.18</v>
      </c>
      <c r="D46" s="13">
        <v>0.19</v>
      </c>
      <c r="E46" s="13">
        <v>0.2</v>
      </c>
      <c r="F46" s="34" t="s">
        <v>85</v>
      </c>
    </row>
    <row r="47" spans="2:6" ht="15" customHeight="1" x14ac:dyDescent="0.2">
      <c r="B47" s="8" t="s">
        <v>87</v>
      </c>
      <c r="C47" s="13">
        <v>0.16</v>
      </c>
      <c r="D47" s="13">
        <v>0.17</v>
      </c>
      <c r="E47" s="13">
        <v>0.17</v>
      </c>
      <c r="F47" s="34" t="s">
        <v>85</v>
      </c>
    </row>
    <row r="48" spans="2:6" ht="15" customHeight="1" x14ac:dyDescent="0.2">
      <c r="B48" s="8" t="s">
        <v>88</v>
      </c>
      <c r="C48" s="13">
        <v>0.14000000000000001</v>
      </c>
      <c r="D48" s="13">
        <v>0.15</v>
      </c>
      <c r="E48" s="13">
        <v>0.15</v>
      </c>
      <c r="F48" s="34" t="s">
        <v>85</v>
      </c>
    </row>
    <row r="49" spans="2:6" ht="15" customHeight="1" x14ac:dyDescent="0.2">
      <c r="B49" s="12" t="s">
        <v>89</v>
      </c>
      <c r="C49" s="35">
        <f>CHOOSE($C$5,C46,C47,C48)</f>
        <v>0.16</v>
      </c>
      <c r="D49" s="35">
        <f>CHOOSE($C$5,D46,D47,D48)</f>
        <v>0.17</v>
      </c>
      <c r="E49" s="35">
        <f>CHOOSE($C$5,E46,E47,E48)</f>
        <v>0.17</v>
      </c>
      <c r="F49" s="36" t="s">
        <v>85</v>
      </c>
    </row>
    <row r="51" spans="2:6" ht="15" customHeight="1" x14ac:dyDescent="0.2">
      <c r="B51" s="1" t="s">
        <v>99</v>
      </c>
      <c r="C51" s="2"/>
      <c r="D51" s="2"/>
      <c r="E51" s="2"/>
      <c r="F51" s="2"/>
    </row>
    <row r="52" spans="2:6" ht="15" customHeight="1" x14ac:dyDescent="0.2">
      <c r="B52" s="37" t="s">
        <v>100</v>
      </c>
      <c r="C52" s="37" t="s">
        <v>101</v>
      </c>
      <c r="D52" s="37" t="s">
        <v>102</v>
      </c>
    </row>
    <row r="53" spans="2:6" ht="15" customHeight="1" x14ac:dyDescent="0.2">
      <c r="B53" s="20" t="s">
        <v>103</v>
      </c>
      <c r="C53" s="38" t="s">
        <v>104</v>
      </c>
      <c r="D53" s="5" t="s">
        <v>105</v>
      </c>
    </row>
    <row r="54" spans="2:6" ht="15" customHeight="1" x14ac:dyDescent="0.2">
      <c r="B54" s="20" t="s">
        <v>106</v>
      </c>
      <c r="C54" s="38" t="s">
        <v>104</v>
      </c>
      <c r="D54" s="5" t="s">
        <v>107</v>
      </c>
    </row>
    <row r="55" spans="2:6" ht="15" customHeight="1" x14ac:dyDescent="0.2">
      <c r="B55" s="20" t="s">
        <v>108</v>
      </c>
      <c r="C55" s="38" t="s">
        <v>104</v>
      </c>
      <c r="D55" s="5" t="s">
        <v>109</v>
      </c>
    </row>
    <row r="56" spans="2:6" ht="15" customHeight="1" x14ac:dyDescent="0.2">
      <c r="B56" s="20" t="s">
        <v>110</v>
      </c>
      <c r="C56" s="38" t="s">
        <v>104</v>
      </c>
      <c r="D56" s="5" t="s">
        <v>111</v>
      </c>
    </row>
    <row r="58" spans="2:6" ht="15" customHeight="1" x14ac:dyDescent="0.2">
      <c r="B58" s="39" t="s">
        <v>112</v>
      </c>
    </row>
    <row r="59" spans="2:6" ht="15" customHeight="1" x14ac:dyDescent="0.2">
      <c r="B59" s="20" t="s">
        <v>113</v>
      </c>
    </row>
  </sheetData>
  <phoneticPr fontId="14" type="noConversion"/>
  <pageMargins left="0.75" right="0.75" top="1" bottom="1" header="0.511811023622047" footer="0.511811023622047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H38"/>
  <sheetViews>
    <sheetView workbookViewId="0">
      <selection activeCell="I21" sqref="I21"/>
    </sheetView>
  </sheetViews>
  <sheetFormatPr baseColWidth="10" defaultColWidth="8.6640625" defaultRowHeight="15" x14ac:dyDescent="0.2"/>
  <cols>
    <col min="1" max="1" width="3" customWidth="1"/>
    <col min="2" max="2" width="28" customWidth="1"/>
    <col min="3" max="9" width="12" customWidth="1"/>
  </cols>
  <sheetData>
    <row r="2" spans="2:8" ht="15" customHeight="1" x14ac:dyDescent="0.2">
      <c r="B2" s="1" t="s">
        <v>114</v>
      </c>
      <c r="C2" s="2"/>
      <c r="D2" s="2"/>
      <c r="E2" s="2"/>
      <c r="F2" s="2"/>
      <c r="G2" s="2"/>
      <c r="H2" s="2"/>
    </row>
    <row r="4" spans="2:8" ht="15" customHeight="1" x14ac:dyDescent="0.2">
      <c r="B4" s="18" t="s">
        <v>115</v>
      </c>
      <c r="C4" s="19" t="s">
        <v>32</v>
      </c>
      <c r="D4" s="19" t="s">
        <v>33</v>
      </c>
      <c r="E4" s="19" t="s">
        <v>80</v>
      </c>
      <c r="F4" s="19" t="s">
        <v>81</v>
      </c>
      <c r="G4" s="19" t="s">
        <v>82</v>
      </c>
      <c r="H4" s="19" t="s">
        <v>116</v>
      </c>
    </row>
    <row r="6" spans="2:8" ht="15" customHeight="1" x14ac:dyDescent="0.2">
      <c r="B6" s="1" t="s">
        <v>117</v>
      </c>
      <c r="C6" s="2"/>
      <c r="D6" s="2"/>
      <c r="E6" s="2"/>
      <c r="F6" s="2"/>
      <c r="G6" s="2"/>
      <c r="H6" s="2"/>
    </row>
    <row r="7" spans="2:8" ht="15" customHeight="1" x14ac:dyDescent="0.2">
      <c r="B7" s="20" t="s">
        <v>118</v>
      </c>
      <c r="C7" s="21">
        <f>'Historical Data'!C7</f>
        <v>1476891</v>
      </c>
      <c r="D7" s="21">
        <f>'Historical Data'!D7</f>
        <v>2192931</v>
      </c>
      <c r="E7" s="22">
        <f>D7*(1+E8)</f>
        <v>2850810.3000000003</v>
      </c>
      <c r="F7" s="22">
        <f>E7*(1+F8)</f>
        <v>3563512.8750000005</v>
      </c>
      <c r="G7" s="22">
        <f>F7*(1+G8)</f>
        <v>4276215.45</v>
      </c>
      <c r="H7" s="23">
        <f>IF(D7&gt;0,(G7/D7)^(1/3)-1,0)</f>
        <v>0.24933297746139083</v>
      </c>
    </row>
    <row r="8" spans="2:8" ht="15" customHeight="1" x14ac:dyDescent="0.2">
      <c r="B8" s="8" t="s">
        <v>119</v>
      </c>
      <c r="D8" s="13">
        <f>(D7-C7)/C7</f>
        <v>0.4848292798859225</v>
      </c>
      <c r="E8" s="13">
        <f>Assumptions!C17</f>
        <v>0.3</v>
      </c>
      <c r="F8" s="13">
        <f>Assumptions!D17</f>
        <v>0.25</v>
      </c>
      <c r="G8" s="13">
        <f>Assumptions!E17</f>
        <v>0.2</v>
      </c>
    </row>
    <row r="9" spans="2:8" ht="15" customHeight="1" x14ac:dyDescent="0.2">
      <c r="B9" s="8" t="s">
        <v>120</v>
      </c>
      <c r="E9" s="9">
        <f>E7*Assumptions!C37</f>
        <v>1681978.077</v>
      </c>
      <c r="F9" s="9">
        <f>F7*Assumptions!D37</f>
        <v>2066837.4675</v>
      </c>
      <c r="G9" s="9">
        <f>G7*Assumptions!E37</f>
        <v>2437442.8064999999</v>
      </c>
    </row>
    <row r="10" spans="2:8" ht="15" customHeight="1" x14ac:dyDescent="0.2">
      <c r="B10" s="8" t="s">
        <v>121</v>
      </c>
      <c r="E10" s="13">
        <f>Assumptions!C37</f>
        <v>0.59</v>
      </c>
      <c r="F10" s="13">
        <f>Assumptions!D37</f>
        <v>0.57999999999999996</v>
      </c>
      <c r="G10" s="13">
        <f>Assumptions!E37</f>
        <v>0.56999999999999995</v>
      </c>
    </row>
    <row r="12" spans="2:8" ht="15" customHeight="1" x14ac:dyDescent="0.2">
      <c r="B12" s="1" t="s">
        <v>122</v>
      </c>
      <c r="C12" s="2"/>
      <c r="D12" s="2"/>
      <c r="E12" s="2"/>
      <c r="F12" s="2"/>
      <c r="G12" s="2"/>
      <c r="H12" s="2"/>
    </row>
    <row r="13" spans="2:8" ht="15" customHeight="1" x14ac:dyDescent="0.2">
      <c r="B13" s="20" t="s">
        <v>118</v>
      </c>
      <c r="C13" s="21">
        <f>'Historical Data'!C8</f>
        <v>1005130</v>
      </c>
      <c r="D13" s="21">
        <f>'Historical Data'!D8</f>
        <v>1110816</v>
      </c>
      <c r="E13" s="22">
        <f>D13*(1+E14)</f>
        <v>1199681.28</v>
      </c>
      <c r="F13" s="22">
        <f>E13*(1+F14)</f>
        <v>1271662.1568</v>
      </c>
      <c r="G13" s="22">
        <f>F13*(1+G14)</f>
        <v>1335245.26464</v>
      </c>
      <c r="H13" s="23">
        <f>IF(D13&gt;0,(G13/D13)^(1/3)-1,0)</f>
        <v>6.3260401462249982E-2</v>
      </c>
    </row>
    <row r="14" spans="2:8" ht="15" customHeight="1" x14ac:dyDescent="0.2">
      <c r="B14" s="8" t="s">
        <v>119</v>
      </c>
      <c r="D14" s="13">
        <f>(D13-C13)/C13</f>
        <v>0.10514659795250365</v>
      </c>
      <c r="E14" s="13">
        <f>Assumptions!C24</f>
        <v>0.08</v>
      </c>
      <c r="F14" s="13">
        <f>Assumptions!D24</f>
        <v>0.06</v>
      </c>
      <c r="G14" s="13">
        <f>Assumptions!E24</f>
        <v>0.05</v>
      </c>
    </row>
    <row r="16" spans="2:8" ht="15" customHeight="1" x14ac:dyDescent="0.2">
      <c r="B16" s="1" t="s">
        <v>123</v>
      </c>
      <c r="C16" s="2"/>
      <c r="D16" s="2"/>
      <c r="E16" s="2"/>
      <c r="F16" s="2"/>
      <c r="G16" s="2"/>
      <c r="H16" s="2"/>
    </row>
    <row r="17" spans="2:8" ht="15" customHeight="1" x14ac:dyDescent="0.2">
      <c r="B17" s="20" t="s">
        <v>118</v>
      </c>
      <c r="C17" s="21">
        <v>412287</v>
      </c>
      <c r="D17" s="21">
        <v>505307</v>
      </c>
      <c r="E17" s="22">
        <f>D17*(1+E18)</f>
        <v>565943.84000000008</v>
      </c>
      <c r="F17" s="22">
        <f>E17*(1+F18)</f>
        <v>622538.22400000016</v>
      </c>
      <c r="G17" s="22">
        <f>F17*(1+G18)</f>
        <v>672341.28192000021</v>
      </c>
      <c r="H17" s="23">
        <f>IF(D17&gt;0,(G17/D17)^(1/3)-1,0)</f>
        <v>9.987877451962679E-2</v>
      </c>
    </row>
    <row r="18" spans="2:8" ht="15" customHeight="1" x14ac:dyDescent="0.2">
      <c r="B18" s="8" t="s">
        <v>119</v>
      </c>
      <c r="D18" s="13">
        <f>(D17-C17)/C17</f>
        <v>0.22561953202502141</v>
      </c>
      <c r="E18" s="13">
        <f>Assumptions!C31</f>
        <v>0.12</v>
      </c>
      <c r="F18" s="13">
        <f>Assumptions!D31</f>
        <v>0.1</v>
      </c>
      <c r="G18" s="13">
        <f>Assumptions!E31</f>
        <v>0.08</v>
      </c>
    </row>
    <row r="20" spans="2:8" ht="15" customHeight="1" x14ac:dyDescent="0.2">
      <c r="B20" s="1" t="s">
        <v>124</v>
      </c>
      <c r="C20" s="2"/>
      <c r="D20" s="2"/>
      <c r="E20" s="2"/>
      <c r="F20" s="2"/>
      <c r="G20" s="2"/>
      <c r="H20" s="2"/>
    </row>
    <row r="21" spans="2:8" ht="15" customHeight="1" x14ac:dyDescent="0.2">
      <c r="B21" s="20" t="s">
        <v>40</v>
      </c>
      <c r="C21" s="24">
        <f>C7+C13+C17</f>
        <v>2894308</v>
      </c>
      <c r="D21" s="24">
        <f>D7+D13+D17</f>
        <v>3809054</v>
      </c>
      <c r="E21" s="22">
        <f>E7+E13+E17</f>
        <v>4616435.42</v>
      </c>
      <c r="F21" s="22">
        <f>F7+F13+F17</f>
        <v>5457713.2558000004</v>
      </c>
      <c r="G21" s="22">
        <f>G7+G13+G17</f>
        <v>6283801.9965599999</v>
      </c>
      <c r="H21" s="25">
        <f>IF(D21&gt;0,(G21/D21)^(1/3)-1,0)</f>
        <v>0.1815944818250379</v>
      </c>
    </row>
    <row r="22" spans="2:8" ht="15" customHeight="1" x14ac:dyDescent="0.2">
      <c r="B22" s="3" t="s">
        <v>125</v>
      </c>
      <c r="C22" s="26">
        <v>1624354</v>
      </c>
      <c r="D22" s="26">
        <v>2281294</v>
      </c>
      <c r="E22" s="22">
        <f>E21*Assumptions!C37</f>
        <v>2723696.8977999999</v>
      </c>
      <c r="F22" s="22">
        <f>F21*Assumptions!D37</f>
        <v>3165473.6883640001</v>
      </c>
      <c r="G22" s="22">
        <f>G21*Assumptions!E37</f>
        <v>3581767.1380391996</v>
      </c>
    </row>
    <row r="23" spans="2:8" ht="15" customHeight="1" x14ac:dyDescent="0.2">
      <c r="B23" s="3" t="s">
        <v>126</v>
      </c>
      <c r="C23" s="27">
        <f>C22/C21</f>
        <v>0.56122361545488597</v>
      </c>
      <c r="D23" s="27">
        <f>D22/D21</f>
        <v>0.59891353601182862</v>
      </c>
      <c r="E23" s="25">
        <f>IF(E21&lt;&gt;0,E22/E21,"")</f>
        <v>0.59</v>
      </c>
      <c r="F23" s="25">
        <f>IF(F21&lt;&gt;0,F22/F21,"")</f>
        <v>0.57999999999999996</v>
      </c>
      <c r="G23" s="25">
        <f>IF(G21&lt;&gt;0,G22/G21,"")</f>
        <v>0.56999999999999995</v>
      </c>
    </row>
    <row r="25" spans="2:8" ht="15" customHeight="1" x14ac:dyDescent="0.2">
      <c r="B25" s="1" t="s">
        <v>127</v>
      </c>
      <c r="C25" s="2"/>
      <c r="D25" s="2"/>
      <c r="E25" s="2"/>
      <c r="F25" s="2"/>
      <c r="G25" s="2"/>
      <c r="H25" s="2"/>
    </row>
    <row r="26" spans="2:8" ht="15" customHeight="1" x14ac:dyDescent="0.2">
      <c r="B26" s="8" t="s">
        <v>128</v>
      </c>
      <c r="C26" s="9">
        <v>-301070</v>
      </c>
      <c r="D26" s="9">
        <v>-345650</v>
      </c>
      <c r="E26" s="9">
        <f>-E21*Assumptions!C43</f>
        <v>-415479.18779999996</v>
      </c>
      <c r="F26" s="9">
        <f>-F21*Assumptions!D43</f>
        <v>-491194.19302200002</v>
      </c>
      <c r="G26" s="9">
        <f>-G21*Assumptions!E43</f>
        <v>-565542.17969040002</v>
      </c>
    </row>
    <row r="27" spans="2:8" ht="15" customHeight="1" x14ac:dyDescent="0.2">
      <c r="B27" s="8" t="s">
        <v>129</v>
      </c>
      <c r="C27" s="13">
        <f>IF(C21&lt;&gt;0,-C26/C21,"")</f>
        <v>0.10402141029911122</v>
      </c>
      <c r="D27" s="13">
        <f>IF(D21&lt;&gt;0,-D26/D21,"")</f>
        <v>9.0744316042775969E-2</v>
      </c>
      <c r="E27" s="13">
        <f>IF(E21&lt;&gt;0,-E26/E21,"")</f>
        <v>0.09</v>
      </c>
      <c r="F27" s="13">
        <f>IF(F21&lt;&gt;0,-F26/F21,"")</f>
        <v>0.09</v>
      </c>
      <c r="G27" s="13">
        <f>IF(G21&lt;&gt;0,-G26/G21,"")</f>
        <v>9.0000000000000011E-2</v>
      </c>
    </row>
    <row r="28" spans="2:8" ht="15" customHeight="1" x14ac:dyDescent="0.2">
      <c r="B28" s="8" t="s">
        <v>130</v>
      </c>
      <c r="C28" s="9">
        <v>1322053</v>
      </c>
      <c r="D28" s="9">
        <v>1936092</v>
      </c>
      <c r="E28" s="9">
        <f>E22+E26</f>
        <v>2308217.71</v>
      </c>
      <c r="F28" s="9">
        <f>F22+F26</f>
        <v>2674279.4953419999</v>
      </c>
      <c r="G28" s="9">
        <f>G22+G26</f>
        <v>3016224.9583487995</v>
      </c>
    </row>
    <row r="29" spans="2:8" ht="15" customHeight="1" x14ac:dyDescent="0.2">
      <c r="B29" s="8" t="s">
        <v>131</v>
      </c>
      <c r="C29" s="13">
        <f>IF(C21&lt;&gt;0,C28/C21,"")</f>
        <v>0.45677688760145774</v>
      </c>
      <c r="D29" s="13">
        <f>IF(D21&lt;&gt;0,D28/D21,"")</f>
        <v>0.50828683447386147</v>
      </c>
      <c r="E29" s="13">
        <f>IF(E21&lt;&gt;0,E28/E21,"")</f>
        <v>0.5</v>
      </c>
      <c r="F29" s="13">
        <f>IF(F21&lt;&gt;0,F28/F21,"")</f>
        <v>0.48999999999999994</v>
      </c>
      <c r="G29" s="13">
        <f>IF(G21&lt;&gt;0,G28/G21,"")</f>
        <v>0.47999999999999993</v>
      </c>
    </row>
    <row r="30" spans="2:8" ht="15" customHeight="1" x14ac:dyDescent="0.2">
      <c r="B30" s="8" t="s">
        <v>132</v>
      </c>
      <c r="C30" s="21">
        <v>1172432</v>
      </c>
      <c r="D30" s="21">
        <v>1715397</v>
      </c>
      <c r="E30" s="22">
        <f>E28*(1-Assumptions!C49)</f>
        <v>1938902.8764</v>
      </c>
      <c r="F30" s="22">
        <f>F28*(1-Assumptions!D49)</f>
        <v>2219651.9811338596</v>
      </c>
      <c r="G30" s="22">
        <f>G28*(1-Assumptions!E49)</f>
        <v>2503466.7154295035</v>
      </c>
    </row>
    <row r="31" spans="2:8" ht="15" customHeight="1" x14ac:dyDescent="0.2">
      <c r="B31" s="8" t="s">
        <v>133</v>
      </c>
      <c r="C31" s="13">
        <f>IF(C21&lt;&gt;0,C30/C21,"")</f>
        <v>0.4050819746896322</v>
      </c>
      <c r="D31" s="13">
        <f>IF(D21&lt;&gt;0,D30/D21,"")</f>
        <v>0.45034725157480049</v>
      </c>
      <c r="E31" s="13">
        <f>IF(E21&lt;&gt;0,E30/E21,"")</f>
        <v>0.42</v>
      </c>
      <c r="F31" s="13">
        <f>IF(F21&lt;&gt;0,F30/F21,"")</f>
        <v>0.40669999999999989</v>
      </c>
      <c r="G31" s="13">
        <f>IF(G21&lt;&gt;0,G30/G21,"")</f>
        <v>0.39839999999999992</v>
      </c>
    </row>
    <row r="32" spans="2:8" ht="15" customHeight="1" x14ac:dyDescent="0.2">
      <c r="B32" s="8" t="s">
        <v>134</v>
      </c>
      <c r="C32" s="21">
        <v>45.25</v>
      </c>
      <c r="D32" s="21">
        <v>66.260000000000005</v>
      </c>
      <c r="E32" s="22">
        <f>E30*1000/25932524</f>
        <v>74.767225758665063</v>
      </c>
      <c r="F32" s="22">
        <f>F30*1000/25932524</f>
        <v>85.593364577002205</v>
      </c>
      <c r="G32" s="22">
        <f>G30*1000/25932524</f>
        <v>96.537719021469087</v>
      </c>
    </row>
    <row r="34" spans="2:8" ht="15" customHeight="1" x14ac:dyDescent="0.2">
      <c r="B34" s="1" t="s">
        <v>41</v>
      </c>
      <c r="C34" s="2"/>
      <c r="D34" s="2"/>
      <c r="E34" s="2"/>
      <c r="F34" s="2"/>
      <c r="G34" s="2"/>
      <c r="H34" s="2"/>
    </row>
    <row r="35" spans="2:8" ht="15" customHeight="1" x14ac:dyDescent="0.2">
      <c r="B35" s="8" t="s">
        <v>135</v>
      </c>
      <c r="D35" s="13">
        <f>D8</f>
        <v>0.4848292798859225</v>
      </c>
      <c r="E35" s="13">
        <f>E8</f>
        <v>0.3</v>
      </c>
      <c r="F35" s="13">
        <f>F8</f>
        <v>0.25</v>
      </c>
      <c r="G35" s="13">
        <f>G8</f>
        <v>0.2</v>
      </c>
    </row>
    <row r="36" spans="2:8" ht="15" customHeight="1" x14ac:dyDescent="0.2">
      <c r="B36" s="8" t="s">
        <v>43</v>
      </c>
      <c r="D36" s="13">
        <f>D14</f>
        <v>0.10514659795250365</v>
      </c>
      <c r="E36" s="13">
        <f>E14</f>
        <v>0.08</v>
      </c>
      <c r="F36" s="13">
        <f>F14</f>
        <v>0.06</v>
      </c>
      <c r="G36" s="13">
        <f>G14</f>
        <v>0.05</v>
      </c>
    </row>
    <row r="37" spans="2:8" ht="15" customHeight="1" x14ac:dyDescent="0.2">
      <c r="B37" s="8" t="s">
        <v>136</v>
      </c>
      <c r="D37" s="13">
        <f>D18</f>
        <v>0.22561953202502141</v>
      </c>
      <c r="E37" s="13">
        <f>E18</f>
        <v>0.12</v>
      </c>
      <c r="F37" s="13">
        <f>F18</f>
        <v>0.1</v>
      </c>
      <c r="G37" s="13">
        <f>G18</f>
        <v>0.08</v>
      </c>
    </row>
    <row r="38" spans="2:8" ht="15" customHeight="1" x14ac:dyDescent="0.2">
      <c r="B38" s="8" t="s">
        <v>48</v>
      </c>
      <c r="D38" s="13">
        <f>(D21-C21)/C21</f>
        <v>0.31604998500505127</v>
      </c>
      <c r="E38" s="13">
        <f>(E21-D21)/D21</f>
        <v>0.21196376318109428</v>
      </c>
      <c r="F38" s="13">
        <f>(F21-E21)/E21</f>
        <v>0.18223537410602408</v>
      </c>
      <c r="G38" s="13">
        <f>(G21-F21)/F21</f>
        <v>0.15136169711409839</v>
      </c>
    </row>
  </sheetData>
  <phoneticPr fontId="14" type="noConversion"/>
  <pageMargins left="0.75" right="0.75" top="1" bottom="1" header="0.511811023622047" footer="0.511811023622047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F31"/>
  <sheetViews>
    <sheetView tabSelected="1" workbookViewId="0">
      <selection activeCell="H25" sqref="H25"/>
    </sheetView>
  </sheetViews>
  <sheetFormatPr baseColWidth="10" defaultColWidth="8.6640625" defaultRowHeight="15" x14ac:dyDescent="0.2"/>
  <cols>
    <col min="1" max="1" width="3" customWidth="1"/>
    <col min="2" max="2" width="32" customWidth="1"/>
    <col min="3" max="6" width="14" customWidth="1"/>
  </cols>
  <sheetData>
    <row r="2" spans="2:6" ht="15" customHeight="1" x14ac:dyDescent="0.2">
      <c r="B2" s="1" t="s">
        <v>137</v>
      </c>
      <c r="C2" s="2"/>
      <c r="D2" s="2"/>
      <c r="E2" s="2"/>
      <c r="F2" s="2"/>
    </row>
    <row r="4" spans="2:6" ht="15" customHeight="1" x14ac:dyDescent="0.2">
      <c r="B4" s="3" t="s">
        <v>138</v>
      </c>
      <c r="C4" s="4">
        <f>Assumptions!C5</f>
        <v>2</v>
      </c>
      <c r="E4" s="5" t="s">
        <v>139</v>
      </c>
    </row>
    <row r="6" spans="2:6" ht="15" customHeight="1" x14ac:dyDescent="0.2">
      <c r="B6" s="6" t="s">
        <v>115</v>
      </c>
      <c r="C6" s="7" t="s">
        <v>33</v>
      </c>
      <c r="D6" s="7" t="s">
        <v>80</v>
      </c>
      <c r="E6" s="7" t="s">
        <v>81</v>
      </c>
      <c r="F6" s="7" t="s">
        <v>82</v>
      </c>
    </row>
    <row r="7" spans="2:6" ht="15" customHeight="1" x14ac:dyDescent="0.2">
      <c r="B7" s="1" t="s">
        <v>140</v>
      </c>
      <c r="C7" s="2"/>
      <c r="D7" s="2"/>
      <c r="E7" s="2"/>
      <c r="F7" s="2"/>
    </row>
    <row r="8" spans="2:6" ht="15" customHeight="1" x14ac:dyDescent="0.2">
      <c r="B8" s="8" t="s">
        <v>141</v>
      </c>
      <c r="C8" s="9">
        <f>'Revenue Build'!D7</f>
        <v>2192931</v>
      </c>
      <c r="D8" s="9">
        <f>'Revenue Build'!E7</f>
        <v>2850810.3000000003</v>
      </c>
      <c r="E8" s="9">
        <f>'Revenue Build'!F7</f>
        <v>3563512.8750000005</v>
      </c>
      <c r="F8" s="9">
        <f>'Revenue Build'!G7</f>
        <v>4276215.45</v>
      </c>
    </row>
    <row r="9" spans="2:6" ht="15" customHeight="1" x14ac:dyDescent="0.2">
      <c r="B9" s="8" t="s">
        <v>142</v>
      </c>
      <c r="C9" s="9">
        <f>'Revenue Build'!D13</f>
        <v>1110816</v>
      </c>
      <c r="D9" s="9">
        <f>'Revenue Build'!E13</f>
        <v>1199681.28</v>
      </c>
      <c r="E9" s="9">
        <f>'Revenue Build'!F13</f>
        <v>1271662.1568</v>
      </c>
      <c r="F9" s="9">
        <f>'Revenue Build'!G13</f>
        <v>1335245.26464</v>
      </c>
    </row>
    <row r="10" spans="2:6" ht="15" customHeight="1" x14ac:dyDescent="0.2">
      <c r="B10" s="8" t="s">
        <v>143</v>
      </c>
      <c r="C10" s="9">
        <f>'Revenue Build'!D17</f>
        <v>505307</v>
      </c>
      <c r="D10" s="9">
        <f>'Revenue Build'!E17</f>
        <v>565943.84000000008</v>
      </c>
      <c r="E10" s="9">
        <f>'Revenue Build'!F17</f>
        <v>622538.22400000016</v>
      </c>
      <c r="F10" s="9">
        <f>'Revenue Build'!G17</f>
        <v>672341.28192000021</v>
      </c>
    </row>
    <row r="11" spans="2:6" ht="15" customHeight="1" x14ac:dyDescent="0.2">
      <c r="B11" s="10" t="s">
        <v>40</v>
      </c>
      <c r="C11" s="11">
        <f>'Revenue Build'!D21</f>
        <v>3809054</v>
      </c>
      <c r="D11" s="11">
        <f>'Revenue Build'!E21</f>
        <v>4616435.42</v>
      </c>
      <c r="E11" s="11">
        <f>'Revenue Build'!F21</f>
        <v>5457713.2558000004</v>
      </c>
      <c r="F11" s="11">
        <f>'Revenue Build'!G21</f>
        <v>6283801.9965599999</v>
      </c>
    </row>
    <row r="12" spans="2:6" ht="15" customHeight="1" x14ac:dyDescent="0.2"/>
    <row r="13" spans="2:6" ht="15" customHeight="1" x14ac:dyDescent="0.2">
      <c r="B13" s="1" t="s">
        <v>127</v>
      </c>
      <c r="C13" s="2"/>
      <c r="D13" s="2"/>
      <c r="E13" s="2"/>
      <c r="F13" s="2"/>
    </row>
    <row r="14" spans="2:6" ht="15" customHeight="1" x14ac:dyDescent="0.2">
      <c r="B14" s="12" t="s">
        <v>120</v>
      </c>
      <c r="D14" s="9">
        <f>'Revenue Build'!E22</f>
        <v>2723696.8977999999</v>
      </c>
      <c r="E14" s="9">
        <f>'Revenue Build'!F22</f>
        <v>3165473.6883640001</v>
      </c>
      <c r="F14" s="9">
        <f>'Revenue Build'!G22</f>
        <v>3581767.1380391996</v>
      </c>
    </row>
    <row r="15" spans="2:6" ht="15" customHeight="1" x14ac:dyDescent="0.2">
      <c r="B15" s="8" t="s">
        <v>121</v>
      </c>
      <c r="C15" s="13">
        <f>'Revenue Build'!D23</f>
        <v>0.59891353601182862</v>
      </c>
      <c r="D15" s="13">
        <f>'Revenue Build'!E23</f>
        <v>0.59</v>
      </c>
      <c r="E15" s="13">
        <f>'Revenue Build'!F23</f>
        <v>0.57999999999999996</v>
      </c>
      <c r="F15" s="13">
        <f>'Revenue Build'!G23</f>
        <v>0.56999999999999995</v>
      </c>
    </row>
    <row r="16" spans="2:6" ht="15" customHeight="1" x14ac:dyDescent="0.2">
      <c r="B16" s="12" t="s">
        <v>130</v>
      </c>
      <c r="C16" s="9">
        <f>'Revenue Build'!D28</f>
        <v>1936092</v>
      </c>
      <c r="D16" s="9">
        <f>'Revenue Build'!E28</f>
        <v>2308217.71</v>
      </c>
      <c r="E16" s="9">
        <f>'Revenue Build'!F28</f>
        <v>2674279.4953419999</v>
      </c>
      <c r="F16" s="9">
        <f>'Revenue Build'!G28</f>
        <v>3016224.9583487995</v>
      </c>
    </row>
    <row r="17" spans="2:6" ht="15" customHeight="1" x14ac:dyDescent="0.2">
      <c r="B17" s="8" t="s">
        <v>131</v>
      </c>
      <c r="C17" s="13">
        <f>'Revenue Build'!D29</f>
        <v>0.50828683447386147</v>
      </c>
      <c r="D17" s="13">
        <f>'Revenue Build'!E29</f>
        <v>0.5</v>
      </c>
      <c r="E17" s="13">
        <f>'Revenue Build'!F29</f>
        <v>0.48999999999999994</v>
      </c>
      <c r="F17" s="13">
        <f>'Revenue Build'!G29</f>
        <v>0.47999999999999993</v>
      </c>
    </row>
    <row r="18" spans="2:6" ht="15" customHeight="1" x14ac:dyDescent="0.2">
      <c r="B18" s="12" t="s">
        <v>132</v>
      </c>
      <c r="C18" s="9">
        <f>'Revenue Build'!D30</f>
        <v>1715397</v>
      </c>
      <c r="D18" s="9">
        <f>'Revenue Build'!E30</f>
        <v>1938902.8764</v>
      </c>
      <c r="E18" s="9">
        <f>'Revenue Build'!F30</f>
        <v>2219651.9811338596</v>
      </c>
      <c r="F18" s="9">
        <f>'Revenue Build'!G30</f>
        <v>2503466.7154295035</v>
      </c>
    </row>
    <row r="19" spans="2:6" ht="15" customHeight="1" x14ac:dyDescent="0.2">
      <c r="B19" s="8" t="s">
        <v>133</v>
      </c>
      <c r="C19" s="13">
        <f>'Revenue Build'!D31</f>
        <v>0.45034725157480049</v>
      </c>
      <c r="D19" s="13">
        <f>'Revenue Build'!E31</f>
        <v>0.42</v>
      </c>
      <c r="E19" s="13">
        <f>'Revenue Build'!F31</f>
        <v>0.40669999999999989</v>
      </c>
      <c r="F19" s="13">
        <f>'Revenue Build'!G31</f>
        <v>0.39839999999999992</v>
      </c>
    </row>
    <row r="20" spans="2:6" ht="15" customHeight="1" x14ac:dyDescent="0.2"/>
    <row r="21" spans="2:6" ht="15" customHeight="1" x14ac:dyDescent="0.2">
      <c r="B21" s="12" t="s">
        <v>134</v>
      </c>
      <c r="C21" s="14">
        <f>'Revenue Build'!D32</f>
        <v>66.260000000000005</v>
      </c>
      <c r="D21" s="14">
        <f>'Revenue Build'!E32</f>
        <v>74.767225758665063</v>
      </c>
      <c r="E21" s="14">
        <f>'Revenue Build'!F32</f>
        <v>85.593364577002205</v>
      </c>
      <c r="F21" s="14">
        <f>'Revenue Build'!G32</f>
        <v>96.537719021469087</v>
      </c>
    </row>
    <row r="22" spans="2:6" ht="15" customHeight="1" x14ac:dyDescent="0.2"/>
    <row r="23" spans="2:6" ht="15" customHeight="1" x14ac:dyDescent="0.2">
      <c r="B23" s="1" t="s">
        <v>144</v>
      </c>
      <c r="C23" s="2"/>
      <c r="D23" s="2"/>
      <c r="E23" s="2"/>
      <c r="F23" s="2"/>
    </row>
    <row r="24" spans="2:6" ht="15" customHeight="1" x14ac:dyDescent="0.2">
      <c r="B24" s="15" t="s">
        <v>145</v>
      </c>
      <c r="C24" s="16">
        <f>'Revenue Build'!H21</f>
        <v>0.1815944818250379</v>
      </c>
    </row>
    <row r="25" spans="2:6" ht="15" customHeight="1" x14ac:dyDescent="0.2"/>
    <row r="26" spans="2:6" ht="15" customHeight="1" x14ac:dyDescent="0.2">
      <c r="B26" s="1" t="s">
        <v>146</v>
      </c>
      <c r="C26" s="2"/>
      <c r="D26" s="2"/>
      <c r="E26" s="2"/>
      <c r="F26" s="2"/>
    </row>
    <row r="27" spans="2:6" ht="15" customHeight="1" x14ac:dyDescent="0.2">
      <c r="B27" s="8" t="s">
        <v>70</v>
      </c>
      <c r="C27" s="9">
        <v>5148107</v>
      </c>
    </row>
    <row r="28" spans="2:6" ht="15" customHeight="1" x14ac:dyDescent="0.2">
      <c r="B28" s="8" t="s">
        <v>72</v>
      </c>
      <c r="C28" s="9">
        <v>6283802</v>
      </c>
    </row>
    <row r="29" spans="2:6" ht="15" customHeight="1" x14ac:dyDescent="0.2">
      <c r="B29" s="8" t="s">
        <v>74</v>
      </c>
      <c r="C29" s="9">
        <v>7551132</v>
      </c>
    </row>
    <row r="30" spans="2:6" ht="15" customHeight="1" x14ac:dyDescent="0.2">
      <c r="B30" s="15" t="s">
        <v>147</v>
      </c>
      <c r="C30" s="17">
        <f>'Revenue Build'!G21</f>
        <v>6283801.9965599999</v>
      </c>
    </row>
    <row r="31" spans="2:6" ht="15" customHeight="1" x14ac:dyDescent="0.2"/>
  </sheetData>
  <phoneticPr fontId="14" type="noConversion"/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5</vt:i4>
      </vt:variant>
      <vt:variant>
        <vt:lpstr>命名范围</vt:lpstr>
      </vt:variant>
      <vt:variant>
        <vt:i4>1</vt:i4>
      </vt:variant>
    </vt:vector>
  </HeadingPairs>
  <TitlesOfParts>
    <vt:vector size="6" baseType="lpstr">
      <vt:lpstr>Cover</vt:lpstr>
      <vt:lpstr>Historical Data</vt:lpstr>
      <vt:lpstr>Assumptions</vt:lpstr>
      <vt:lpstr>Revenue Build</vt:lpstr>
      <vt:lpstr>Summary</vt:lpstr>
      <vt:lpstr>Scenario_Selector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大糖</cp:lastModifiedBy>
  <cp:revision>0</cp:revision>
  <dcterms:created xsi:type="dcterms:W3CDTF">2026-03-18T02:43:00Z</dcterms:created>
  <dcterms:modified xsi:type="dcterms:W3CDTF">2026-03-18T05:06:24Z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84FA056E30A0B55E7B32BA6967653300_42</vt:lpwstr>
  </property>
  <property fmtid="{D5CDD505-2E9C-101B-9397-08002B2CF9AE}" pid="3" name="KSOProductBuildVer">
    <vt:lpwstr>2052-12.1.25205.25205</vt:lpwstr>
  </property>
  <property fmtid="{D5CDD505-2E9C-101B-9397-08002B2CF9AE}" pid="4" name="CalculationRule">
    <vt:i4>0</vt:i4>
  </property>
</Properties>
</file>